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6335" windowHeight="108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22" i="1"/>
  <c r="H70"/>
  <c r="H59"/>
  <c r="H122"/>
  <c r="H8"/>
  <c r="H84"/>
  <c r="H37"/>
  <c r="H9"/>
  <c r="H73"/>
  <c r="H127"/>
  <c r="H20"/>
  <c r="H21"/>
  <c r="H118"/>
  <c r="H129"/>
  <c r="H11"/>
  <c r="H29"/>
  <c r="H63"/>
  <c r="H16"/>
  <c r="H141"/>
  <c r="H90"/>
  <c r="H91"/>
  <c r="H85"/>
  <c r="H106"/>
  <c r="H94"/>
  <c r="H28"/>
  <c r="H43"/>
  <c r="H130"/>
  <c r="H54"/>
  <c r="H31"/>
  <c r="H115"/>
  <c r="H12"/>
  <c r="H119"/>
  <c r="H111"/>
  <c r="H143"/>
  <c r="H123"/>
  <c r="H14"/>
  <c r="H120"/>
  <c r="H124"/>
  <c r="H136"/>
  <c r="H114"/>
  <c r="H128"/>
  <c r="H117"/>
  <c r="H110"/>
  <c r="H116"/>
  <c r="H135"/>
  <c r="H142"/>
  <c r="H139"/>
  <c r="H112"/>
  <c r="H140"/>
  <c r="H125"/>
  <c r="H126"/>
  <c r="H131"/>
  <c r="H121"/>
  <c r="H133"/>
  <c r="H71"/>
  <c r="H146"/>
  <c r="H113"/>
  <c r="H80"/>
  <c r="H81"/>
  <c r="H15"/>
  <c r="H109"/>
  <c r="H52"/>
  <c r="H108"/>
  <c r="H103"/>
  <c r="H102"/>
  <c r="H95"/>
  <c r="H32"/>
  <c r="H36"/>
  <c r="H27"/>
  <c r="H30"/>
  <c r="H88"/>
  <c r="H67"/>
  <c r="H57"/>
  <c r="H58"/>
  <c r="H56"/>
  <c r="H55"/>
  <c r="H10"/>
  <c r="H46"/>
  <c r="H13"/>
  <c r="H26"/>
  <c r="H82"/>
  <c r="H104"/>
  <c r="H96"/>
  <c r="H17"/>
  <c r="H25"/>
  <c r="H66"/>
  <c r="H65"/>
  <c r="H24"/>
  <c r="H23"/>
  <c r="H19"/>
  <c r="H39"/>
  <c r="H97"/>
  <c r="H45"/>
  <c r="H49"/>
  <c r="H53"/>
  <c r="H83"/>
  <c r="H72"/>
  <c r="H105"/>
  <c r="H86"/>
  <c r="H64"/>
  <c r="H62"/>
  <c r="H60"/>
  <c r="H7"/>
  <c r="H34"/>
  <c r="H132"/>
  <c r="H74"/>
  <c r="H75"/>
  <c r="H101"/>
  <c r="H76"/>
  <c r="H98"/>
  <c r="H42"/>
  <c r="H92"/>
  <c r="H137"/>
  <c r="H100"/>
  <c r="H134"/>
  <c r="H69"/>
  <c r="H38"/>
  <c r="H61"/>
  <c r="H47"/>
  <c r="H93"/>
  <c r="H79"/>
  <c r="H99"/>
  <c r="H68"/>
  <c r="H144"/>
  <c r="H138"/>
  <c r="H89"/>
  <c r="H87"/>
  <c r="H40"/>
  <c r="H51"/>
  <c r="H33"/>
  <c r="H35"/>
  <c r="H107"/>
  <c r="H18"/>
  <c r="H41"/>
  <c r="H145"/>
  <c r="H78"/>
  <c r="H50"/>
  <c r="H44"/>
  <c r="H77"/>
</calcChain>
</file>

<file path=xl/sharedStrings.xml><?xml version="1.0" encoding="utf-8"?>
<sst xmlns="http://schemas.openxmlformats.org/spreadsheetml/2006/main" count="568" uniqueCount="362">
  <si>
    <t>Присвоєний ID плану</t>
  </si>
  <si>
    <t>Конкретна назва предмета закупівлі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</si>
  <si>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</si>
  <si>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</si>
  <si>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</si>
  <si>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</si>
  <si>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</si>
  <si>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Публічна посилання на план</t>
  </si>
  <si>
    <t>UA-P-2018-12-14-000409-c</t>
  </si>
  <si>
    <t>15840000-8 15840000-8 Какао; шоколад та цукрові кондитерські вироби. новорічні подарунки</t>
  </si>
  <si>
    <t>UAH</t>
  </si>
  <si>
    <t>15840000-8 Какао; шоколад та цукрові кондитерські вироби</t>
  </si>
  <si>
    <t>UA-P-2018-12-11-001908-c</t>
  </si>
  <si>
    <t>39530000-6 ковролін</t>
  </si>
  <si>
    <t>39530000-6 Килимові покриття, килимки та килими</t>
  </si>
  <si>
    <t>UA-P-2018-10-16-004396-b</t>
  </si>
  <si>
    <t>35110000-8 вогнегасники</t>
  </si>
  <si>
    <t>35110000-8 Протипожежне, рятувальне та захисне обладнання</t>
  </si>
  <si>
    <t>UA-P-2018-10-10-003069-c</t>
  </si>
  <si>
    <t>65110000-7 ВОДОПОСТАЧАННЯ ТА ВОДОВІДВЕДЕННЯ</t>
  </si>
  <si>
    <t>65110000-7 Розподіл води</t>
  </si>
  <si>
    <t>UA-P-2018-09-14-003601-c</t>
  </si>
  <si>
    <t>03120000-8 однолітні квіти</t>
  </si>
  <si>
    <t>03120000-8 Продукція рослинництва, у тому числі тепличного</t>
  </si>
  <si>
    <t>UA-P-2018-09-10-002569-c</t>
  </si>
  <si>
    <t>44160000-9 44160000-9 Магістралі, трубопроводи, труби, обсадні труби, тюбінги та супутні вироби</t>
  </si>
  <si>
    <t>44160000-9 Магістралі, трубопроводи, труби, обсадні труби, тюбінги та супутні вироби</t>
  </si>
  <si>
    <t>UA-P-2018-08-20-003576-c</t>
  </si>
  <si>
    <t>24910000-6 Клей</t>
  </si>
  <si>
    <t>24910000-6 Клеї</t>
  </si>
  <si>
    <t>UA-P-2018-08-17-003422-c</t>
  </si>
  <si>
    <t>03410000-7 03410000-7 Деревина</t>
  </si>
  <si>
    <t>03410000-7 Деревина</t>
  </si>
  <si>
    <t>UA-P-2018-08-17-003406-c</t>
  </si>
  <si>
    <t>39710000-2 39710000-2 Електричні побутові прилади</t>
  </si>
  <si>
    <t>39710000-2 Електричні побутові прилади</t>
  </si>
  <si>
    <t>UA-P-2018-08-07-000405-a</t>
  </si>
  <si>
    <t>71630000-3 71630000-3 Послуги з технічного огляду та випробовувань</t>
  </si>
  <si>
    <t>71630000-3 Послуги з технічного огляду та випробовувань</t>
  </si>
  <si>
    <t>UA-P-2018-08-03-002650-b</t>
  </si>
  <si>
    <t>14830000-8 Скловолокно</t>
  </si>
  <si>
    <t>UA-P-2018-08-03-002373-b</t>
  </si>
  <si>
    <t>UA-P-2018-08-01-003405-b</t>
  </si>
  <si>
    <t>60140000-1 60140000-1 - Нерегулярні пасажирські перевезення</t>
  </si>
  <si>
    <t>60140000-1 Нерегулярні пасажирські перевезення</t>
  </si>
  <si>
    <t>UA-P-2018-07-31-003713-b</t>
  </si>
  <si>
    <t>71900000-7 71900000-7 - Лабораторні послуги</t>
  </si>
  <si>
    <t>71900000-7 Лабораторні послуги</t>
  </si>
  <si>
    <t>UA-P-2018-07-19-005118-b</t>
  </si>
  <si>
    <t>03450000-9 03450000-9 - Розсадницька продукція</t>
  </si>
  <si>
    <t>03450000-9 Розсадницька продукція</t>
  </si>
  <si>
    <t>UA-P-2018-07-19-005112-b</t>
  </si>
  <si>
    <t>19730000-2 19730000-2 - Штучні волокна</t>
  </si>
  <si>
    <t>19730000-2 Штучні волокна</t>
  </si>
  <si>
    <t>UA-P-2018-07-19-005104-b</t>
  </si>
  <si>
    <t>39150000-8 39150000-8 - Меблі та приспособи різні</t>
  </si>
  <si>
    <t>39150000-8 Меблі та приспособи різні</t>
  </si>
  <si>
    <t>UA-P-2018-07-19-004949-b</t>
  </si>
  <si>
    <t>14210000-6 14210000-6 - Гравій, пісок, щебінь і наповнювачі</t>
  </si>
  <si>
    <t>14210000-6 Гравій, пісок, щебінь і наповнювачі</t>
  </si>
  <si>
    <t>UA-P-2018-07-12-001893-b</t>
  </si>
  <si>
    <t>85110000-3 85110000-3 - Послуги лікувальних закладів та супутні послуги (медичний огляд)</t>
  </si>
  <si>
    <t>85110000-3 Послуги лікувальних закладів та супутні послуги</t>
  </si>
  <si>
    <t>UA-P-2018-07-06-004459-a</t>
  </si>
  <si>
    <t>44210000-5 44210000-5 - Конструкції та їх частини</t>
  </si>
  <si>
    <t>44210000-5 Конструкції та їх частини</t>
  </si>
  <si>
    <t>UA-P-2018-07-03-002616-a</t>
  </si>
  <si>
    <t>UA-P-2018-07-03-001235-a</t>
  </si>
  <si>
    <t>44160000-9 44160000-9 - Магістралі, трубопроводи, труби, обсадні труби, тюбінги та супутні вироби</t>
  </si>
  <si>
    <t>UA-P-2018-06-25-000331-a</t>
  </si>
  <si>
    <t>44810000-1 44810000-1 - Фарби</t>
  </si>
  <si>
    <t>44810000-1 Фарби</t>
  </si>
  <si>
    <t>UA-P-2018-06-22-004349-a</t>
  </si>
  <si>
    <t>44220000-8 44220000-8 - Столярні вироби</t>
  </si>
  <si>
    <t>44220000-8 Столярні вироби</t>
  </si>
  <si>
    <t>UA-P-2018-06-22-004345-a</t>
  </si>
  <si>
    <t>19720000-9 19720000-9 - Синтетичні волокна</t>
  </si>
  <si>
    <t>19720000-9 Синтетичні волокна</t>
  </si>
  <si>
    <t>UA-P-2018-06-22-004339-a</t>
  </si>
  <si>
    <t>31220000-4 31220000-4 - Елементи електричних схем</t>
  </si>
  <si>
    <t>31220000-4 Елементи електричних схем</t>
  </si>
  <si>
    <t>UA-P-2018-06-22-004335-a</t>
  </si>
  <si>
    <t>UA-P-2018-06-22-004332-a</t>
  </si>
  <si>
    <t>34320000-6 34320000-6 - Механічні запасні частини, крім двигунів і частин двигунів</t>
  </si>
  <si>
    <t>34320000-6 Механічні запасні частини, крім двигунів і частин двигунів</t>
  </si>
  <si>
    <t>UA-P-2018-06-06-003109-a</t>
  </si>
  <si>
    <t>22820000-4 22820000-4 - Бланки</t>
  </si>
  <si>
    <t>22820000-4 Бланки</t>
  </si>
  <si>
    <t>UA-P-2018-06-01-004985-a</t>
  </si>
  <si>
    <t>50410000-2 50410000-2 - Послуги з ремонту і технічного обслуговування вимірювальних, випробувальних і контрольних приладів</t>
  </si>
  <si>
    <t>50410000-2 Послуги з ремонту і технічного обслуговування вимірювальних, випробувальних і контрольних приладів</t>
  </si>
  <si>
    <t>UA-P-2018-04-26-004230-a</t>
  </si>
  <si>
    <t>UA-P-2018-01-19-010589-b</t>
  </si>
  <si>
    <t>60180000-3 Прокат вантажних транспортних засобів із водієм для перевезення товарів (транспортні послуги)</t>
  </si>
  <si>
    <t>60180000-3 Прокат вантажних транспортних засобів із водієм для перевезення товарів</t>
  </si>
  <si>
    <t>UA-P-2018-01-19-010403-b</t>
  </si>
  <si>
    <t>45310000-3 Електромонтажні роботи</t>
  </si>
  <si>
    <t>UA-P-2018-01-05-005354-a</t>
  </si>
  <si>
    <t>90430000-0 Послуги з відведення стічних вод</t>
  </si>
  <si>
    <t>UA-P-2018-01-05-005346-a</t>
  </si>
  <si>
    <t>65130000-3 Експлуатування систем водопостачання</t>
  </si>
  <si>
    <t>UA-P-2018-01-05-005340-a</t>
  </si>
  <si>
    <t>09120000-6 Оплата природного газу</t>
  </si>
  <si>
    <t>09120000-6 Газове паливо</t>
  </si>
  <si>
    <t>UA-P-2018-01-05-005338-a</t>
  </si>
  <si>
    <t>60300000-1 Послуги з транспортування трубопроводами</t>
  </si>
  <si>
    <t>UA-P-2018-01-05-005333-a</t>
  </si>
  <si>
    <t>65310000-9 Розподіл електричної енергії</t>
  </si>
  <si>
    <t>UA-P-2018-01-05-005252-a</t>
  </si>
  <si>
    <t>79810000-5 Друкарські послуги</t>
  </si>
  <si>
    <t>UA-P-2018-01-05-005242-a</t>
  </si>
  <si>
    <t>50310000-1 Технічне обслуговування і ремонт офісної техніки</t>
  </si>
  <si>
    <t>UA-P-2018-01-05-005230-a</t>
  </si>
  <si>
    <t>UA-P-2018-01-05-005223-a</t>
  </si>
  <si>
    <t>51110000-6 Послуги зі встановлення електричного обладнання</t>
  </si>
  <si>
    <t>UA-P-2018-01-05-005217-a</t>
  </si>
  <si>
    <t>45110000-1 Розробка грунту екскаватором з доробкою вручну</t>
  </si>
  <si>
    <t>45110000-1 Руйнування та знесення будівель і земляні роботи</t>
  </si>
  <si>
    <t>UA-P-2018-01-05-005204-a</t>
  </si>
  <si>
    <t>50530000-9 Послуги з ремонту і технічного обслуговування техніки</t>
  </si>
  <si>
    <t>UA-P-2018-01-05-005197-a</t>
  </si>
  <si>
    <t>77310000-6 Послуги з озеленення територій та утримання зелених насаджень</t>
  </si>
  <si>
    <t>UA-P-2018-01-05-005192-a</t>
  </si>
  <si>
    <t>UA-P-2018-01-05-005181-a</t>
  </si>
  <si>
    <t>80330000-6  Послуги у сфері освіти в галузі безпеки</t>
  </si>
  <si>
    <t>80330000-6 Послуги у сфері освіти в галузі безпеки</t>
  </si>
  <si>
    <t>UA-P-2018-01-05-004593-a</t>
  </si>
  <si>
    <t>45310000-3  Електромонтажні роботи</t>
  </si>
  <si>
    <t>UA-P-2018-01-05-004565-a</t>
  </si>
  <si>
    <t>80510000-2 Послуги з професійної підготовки спеціалістів</t>
  </si>
  <si>
    <t>UA-P-2018-01-05-004372-a</t>
  </si>
  <si>
    <t>66110000-4 Банківські послуги</t>
  </si>
  <si>
    <t>UA-P-2018-01-05-004356-a</t>
  </si>
  <si>
    <t>66510000-8 Страхування транспортних засобів</t>
  </si>
  <si>
    <t>66510000-8 Страхові послуги</t>
  </si>
  <si>
    <t>UA-P-2018-01-05-004334-a</t>
  </si>
  <si>
    <t>72260000-5 Послуги, пов’язані з програмним забезпеченням</t>
  </si>
  <si>
    <t>UA-P-2018-01-05-004291-a</t>
  </si>
  <si>
    <t>64210000-1 Послуги телефонного зв’язку та передачі даних</t>
  </si>
  <si>
    <t>UA-P-2018-01-05-004275-a</t>
  </si>
  <si>
    <t>72410000-7 Послуги провайдерів</t>
  </si>
  <si>
    <t>UA-P-2018-01-05-002425-a</t>
  </si>
  <si>
    <t>39540000-9 39540000-9 - Вироби різні з канату, мотузки, шпагату та сітки</t>
  </si>
  <si>
    <t>39540000-9 Вироби різні з канату, мотузки, шпагату та сітки</t>
  </si>
  <si>
    <t>UA-P-2018-01-05-001625-a</t>
  </si>
  <si>
    <t>90510000-5 90510000-5 - Утилізація сміття</t>
  </si>
  <si>
    <t>90510000-5 Утилізація сміття та поводження зі сміттям</t>
  </si>
  <si>
    <t>UA-P-2018-01-05-001596-a</t>
  </si>
  <si>
    <t>50110000-9 50110000-9 - Послуги з ремонту і технічного обслуговування мототранспортних засобів і супутнього обладнання</t>
  </si>
  <si>
    <t>50110000-9 Послуги з ремонту і технічного обслуговування мототранспортних засобів і супутнього обладнання</t>
  </si>
  <si>
    <t>UA-P-2018-01-05-001585-a</t>
  </si>
  <si>
    <t>42410000-3 42410000-3 - Підіймально-транспортувальне обладнання (Автовишка)</t>
  </si>
  <si>
    <t>42410000-3 Підіймально-транспортувальне обладнання</t>
  </si>
  <si>
    <t>UA-P-2018-01-05-001550-a</t>
  </si>
  <si>
    <t>42650000-7 42650000-7 - Ручні інструменти пневматичні чи моторизовані</t>
  </si>
  <si>
    <t>42650000-7 Ручні інструменти пневматичні чи моторизовані</t>
  </si>
  <si>
    <t>UA-P-2018-01-05-001527-a</t>
  </si>
  <si>
    <t>09210000-4 09210000-4 - Мастильні оливи та мастильні матеріали</t>
  </si>
  <si>
    <t>09210000-4 Мастильні засоби</t>
  </si>
  <si>
    <t>UA-P-2018-01-05-001431-a</t>
  </si>
  <si>
    <t>44920000-5 44920000-5 - Вапняк, гіпс і крейда</t>
  </si>
  <si>
    <t>44920000-5 Вапняк, гіпс і крейда</t>
  </si>
  <si>
    <t>UA-P-2018-01-05-001421-a</t>
  </si>
  <si>
    <t>33710000-0 33710000-0 - Миючі засоби</t>
  </si>
  <si>
    <t>33710000-0 Парфуми, засоби гігієни та презервативи</t>
  </si>
  <si>
    <t>UA-P-2018-01-05-001350-a</t>
  </si>
  <si>
    <t>44830000-7 44830000-7 - Мастики, шпаклівки, замазки та розчинники</t>
  </si>
  <si>
    <t>44830000-7 Мастики, шпаклівки, замазки та розчинники</t>
  </si>
  <si>
    <t>UA-P-2018-01-05-001333-a</t>
  </si>
  <si>
    <t>44520000-1 44520000-1 - Замки, ключі та петлі</t>
  </si>
  <si>
    <t>44520000-1 Замки, ключі та петлі</t>
  </si>
  <si>
    <t>UA-P-2018-01-05-001301-a</t>
  </si>
  <si>
    <t>44510000-8 44510000-8 - Знаряддя</t>
  </si>
  <si>
    <t>44510000-8 Знаряддя</t>
  </si>
  <si>
    <t>UA-P-2018-01-05-001286-a</t>
  </si>
  <si>
    <t>UA-P-2018-01-05-001255-a</t>
  </si>
  <si>
    <t>24110000-8 24110000-8 - Промислові гази (кисень)</t>
  </si>
  <si>
    <t>24110000-8 Промислові гази</t>
  </si>
  <si>
    <t>UA-P-2018-01-05-001147-a</t>
  </si>
  <si>
    <t>24440000-0 24440000-0 - Добрива різні</t>
  </si>
  <si>
    <t>24440000-0 Добрива різні</t>
  </si>
  <si>
    <t>UA-P-2018-01-05-001139-a</t>
  </si>
  <si>
    <t>19640000-4 19640000-4 - Поліетиленові мішки та пакети для сміття</t>
  </si>
  <si>
    <t>19640000-4 Поліетиленові мішки та пакети для сміття</t>
  </si>
  <si>
    <t>UA-P-2018-01-05-001114-a</t>
  </si>
  <si>
    <t>22210000-5 22210000-5 - Газети, періодичні видання</t>
  </si>
  <si>
    <t>22210000-5 Газети</t>
  </si>
  <si>
    <t>UA-P-2018-01-05-001081-a</t>
  </si>
  <si>
    <t>44170000-2 44170000-2 - Плити, листи, стрічки та фольга, пов’язані з конструкційними матеріалами</t>
  </si>
  <si>
    <t>44170000-2 Плити, листи, стрічки та фольга, пов’язані з конструкційними матеріалами</t>
  </si>
  <si>
    <t>UA-P-2018-01-05-001055-a</t>
  </si>
  <si>
    <t>39290000-1 39290000-1 - Фурнітура різна</t>
  </si>
  <si>
    <t>39290000-1 Фурнітура різна</t>
  </si>
  <si>
    <t>UA-P-2018-01-04-007990-a</t>
  </si>
  <si>
    <t>34910000-9 34910000-9 - Гужові чи ручні вози, інші транспортні засоби з немеханічним приводом, багажні вози та різні запасні частини</t>
  </si>
  <si>
    <t>34910000-9 Гужові чи ручні вози, інші транспортні засоби з немеханічним приводом, багажні вози та різні запасні частини</t>
  </si>
  <si>
    <t>UA-P-2018-01-04-007987-a</t>
  </si>
  <si>
    <t>34920000-2 34920000-2 - Дорожнє обладнання</t>
  </si>
  <si>
    <t>34920000-2 Дорожнє обладнання</t>
  </si>
  <si>
    <t>UA-P-2018-01-04-007984-a</t>
  </si>
  <si>
    <t>34350000-5 34350000-5 - Шини для транспортних засобів великої та малої тоннажності</t>
  </si>
  <si>
    <t>34350000-5 Шини для транспортних засобів великої та малої тоннажності</t>
  </si>
  <si>
    <t>UA-P-2018-01-04-007981-a</t>
  </si>
  <si>
    <t>34330000-9 34330000-9 - Запасні частини до вантажних транспортних засобів, фургонів та легкових автомобілів</t>
  </si>
  <si>
    <t>34330000-9 Запасні частини до вантажних транспортних засобів, фургонів та легкових автомобілів</t>
  </si>
  <si>
    <t>UA-P-2018-01-04-007977-a</t>
  </si>
  <si>
    <t>03410000-7 03410000-7 - Деревина (пиломатеріали)</t>
  </si>
  <si>
    <t>UA-P-2018-01-04-007974-a</t>
  </si>
  <si>
    <t>31430000-9 31430000-9 - Електричні акумулятори</t>
  </si>
  <si>
    <t>31430000-9 Електричні акумулятори</t>
  </si>
  <si>
    <t>UA-P-2018-01-04-007970-a</t>
  </si>
  <si>
    <t>03450000-9 03450000-9 - Розсадницька продукція (садженці)</t>
  </si>
  <si>
    <t>UA-P-2018-01-04-007961-a</t>
  </si>
  <si>
    <t>19510000-4 19510000-4 - Гумові вироби (ізолента)</t>
  </si>
  <si>
    <t>19510000-4 Гумові вироби</t>
  </si>
  <si>
    <t>UA-P-2018-01-04-007942-a</t>
  </si>
  <si>
    <t>42670000-3 42670000-3 - Частини та приладдя до верстатів</t>
  </si>
  <si>
    <t>42670000-3 Частини та приладдя до верстатів</t>
  </si>
  <si>
    <t>UA-P-2018-01-04-007933-a</t>
  </si>
  <si>
    <t>44530000-4 44530000-4 - Кріпильні деталі (кронштейн)</t>
  </si>
  <si>
    <t>44530000-4 Кріпильні деталі</t>
  </si>
  <si>
    <t>UA-P-2018-01-04-007922-a</t>
  </si>
  <si>
    <t>44310000-6 44310000-6 - Вироби з дроту</t>
  </si>
  <si>
    <t>44310000-6 Вироби з дроту</t>
  </si>
  <si>
    <t>UA-P-2018-01-04-007908-a</t>
  </si>
  <si>
    <t>UA-P-2018-01-04-007897-a</t>
  </si>
  <si>
    <t>18810000-0 18810000-0 - Взуття різне, крім спортивного та захисного (черевики робочі, чоботи гумові)</t>
  </si>
  <si>
    <t>18810000-0 Взуття різне, крім спортивного та захисного</t>
  </si>
  <si>
    <t>UA-P-2018-01-04-007881-a</t>
  </si>
  <si>
    <t>39260000-2 39260000-2 - Секційні лотки та канцелярське приладдя</t>
  </si>
  <si>
    <t>39260000-2 Секційні лотки та канцелярське приладдя</t>
  </si>
  <si>
    <t>UA-P-2018-01-04-007850-a</t>
  </si>
  <si>
    <t>39220000-0 39220000-0 - Кухонне приладдя, товари для дому та господарства і приладдя для закладів громадського харчування</t>
  </si>
  <si>
    <t>39220000-0 Кухонне приладдя, товари для дому та господарства і приладдя для закладів громадського харчування</t>
  </si>
  <si>
    <t>UA-P-2018-01-04-007836-a</t>
  </si>
  <si>
    <t>18140000-2 18140000-2 - Аксесуари до робочого одягу (рукавиці та ін.)</t>
  </si>
  <si>
    <t>18140000-2 Аксесуари до робочого одягу</t>
  </si>
  <si>
    <t>UA-P-2018-01-04-007826-a</t>
  </si>
  <si>
    <t>18130000-9 18130000-9 - Спеціальний робочий одяг</t>
  </si>
  <si>
    <t>18130000-9 Спеціальний робочий одяг</t>
  </si>
  <si>
    <t>UA-P-2018-01-04-007792-a</t>
  </si>
  <si>
    <t>14810000-2 14810000-2 - Абразивні вироби</t>
  </si>
  <si>
    <t>14810000-2 Абразивні вироби</t>
  </si>
  <si>
    <t>UA-P-2018-01-04-007783-a</t>
  </si>
  <si>
    <t>30190000-7 30190000-7 - Дрібне канцелярське приладдя</t>
  </si>
  <si>
    <t>30190000-7 Офісне устаткування та приладдя різне</t>
  </si>
  <si>
    <t>UA-P-2018-01-04-007770-a</t>
  </si>
  <si>
    <t>44320000-9 44320000-9 - Кабелі та супутня продукція</t>
  </si>
  <si>
    <t>44320000-9 Кабелі та супутня продукція</t>
  </si>
  <si>
    <t>UA-P-2018-01-04-007767-a</t>
  </si>
  <si>
    <t>31310000-2 31310000-2 - Мережеві кабелі</t>
  </si>
  <si>
    <t>31310000-2 Мережеві кабелі</t>
  </si>
  <si>
    <t>UA-P-2018-01-04-007756-a</t>
  </si>
  <si>
    <t>31530000-0 31530000-0 - Частини до світильників та освітлювального обладнання</t>
  </si>
  <si>
    <t>31530000-0 Частини до світильників та освітлювального обладнання</t>
  </si>
  <si>
    <t>UA-P-2018-01-04-005654-a</t>
  </si>
  <si>
    <t>34310000-3 34310000-3 - Двигуни та їх частини</t>
  </si>
  <si>
    <t>34310000-3 Двигуни та їх частини</t>
  </si>
  <si>
    <t>UA-P-2018-01-04-005515-a</t>
  </si>
  <si>
    <t>44110000-4 44110000-4 - Конструкційні матеріали</t>
  </si>
  <si>
    <t>44110000-4 Конструкційні матеріали</t>
  </si>
  <si>
    <t>UA-P-2018-01-04-005433-a</t>
  </si>
  <si>
    <t>39560000-5 39560000-5 - Текстильні вироби різні</t>
  </si>
  <si>
    <t>39560000-5 Текстильні вироби різні</t>
  </si>
  <si>
    <t>UA-P-2018-01-04-005321-a</t>
  </si>
  <si>
    <t>44620000-2 44620000-2 - Радіатори і котли для систем центрального опалення та їх деталі</t>
  </si>
  <si>
    <t>44620000-2 Радіатори і котли для систем центрального опалення та їх деталі</t>
  </si>
  <si>
    <t>UA-P-2018-01-04-004883-a</t>
  </si>
  <si>
    <t>UA-P-2018-01-04-004779-a</t>
  </si>
  <si>
    <t>39150000-8 39150000-8 - Меблі та приспособи різні (стенди)</t>
  </si>
  <si>
    <t>UA-P-2018-01-04-004692-a</t>
  </si>
  <si>
    <t>39110000-6 39110000-6 - Сидіння, стільці та супутні вироби і частини до них</t>
  </si>
  <si>
    <t>39110000-6 Сидіння, стільці та супутні вироби і частини до них</t>
  </si>
  <si>
    <t>09130000-9 09130000-9 - Нафта і дистиляти (Бензин А-95, Бензин А-92, Дизельне паливо)</t>
  </si>
  <si>
    <t>09130000-9 Нафта і дистиляти</t>
  </si>
  <si>
    <t>UA-P-2018-05-17-001384-a</t>
  </si>
  <si>
    <t>35820000-8 35820000-8 Допоміжне екіпірування (Прапор)</t>
  </si>
  <si>
    <t>35820000-8 Допоміжне екіпірування</t>
  </si>
  <si>
    <t>UA-P-2018-04-23-005578-a</t>
  </si>
  <si>
    <t>03110000-5 03110000-5 Сільськогосподарські культури, продукція товарного садівництва та рослинництва (насіння газонної трави)</t>
  </si>
  <si>
    <t>03110000-5 Сільськогосподарські культури, продукція товарного садівництва та рослинництва</t>
  </si>
  <si>
    <t>UA-P-2018-04-03-005105-a</t>
  </si>
  <si>
    <t>24310000-0 24310000-0 - Основні неорганічні хімічні речовини (карбід)</t>
  </si>
  <si>
    <t>24310000-0 Основні неорганічні хімічні речовини</t>
  </si>
  <si>
    <t>UA-P-2018-04-03-005110-a</t>
  </si>
  <si>
    <t>72260000-5 72260000-5 - Послуги, пов’язані з програмним забезпеченням</t>
  </si>
  <si>
    <t>UA-P-2018-01-25-011428-b</t>
  </si>
  <si>
    <t>39710000-2 39710000-2 - Електричні побутові прилади</t>
  </si>
  <si>
    <t>UA-P-2018-02-16-004856-c</t>
  </si>
  <si>
    <t>UA-P-2018-03-13-001657-c</t>
  </si>
  <si>
    <t>44480000-8 44480000-8 - Протипожежне обладнання різне</t>
  </si>
  <si>
    <t>44480000-8 Протипожежне обладнання різне</t>
  </si>
  <si>
    <t>UA-P-2018-02-28-004817-c</t>
  </si>
  <si>
    <t>UA-P-2018-04-03-005097-a</t>
  </si>
  <si>
    <t>44410000-7 44410000-7 - Вироби для ванної кімнати та кухні</t>
  </si>
  <si>
    <t>44410000-7 Вироби для ванної кімнати та кухні</t>
  </si>
  <si>
    <t>UA-P-2018-01-25-011064-b</t>
  </si>
  <si>
    <t>31210000-1 31210000-1 Електрична апаратура для комутування та захисту електричних кіл</t>
  </si>
  <si>
    <t>31210000-1 Електрична апаратура для комутування та захисту електричних кіл</t>
  </si>
  <si>
    <t>UA-P-2018-02-07-013145-a</t>
  </si>
  <si>
    <t>44210000-5 44210000-5 - Конструкції та їх частини (опори)</t>
  </si>
  <si>
    <t>UA-P-2018-02-02-009849-b</t>
  </si>
  <si>
    <t>79990000-0 Різні послуги, пов’язані з діловою сферою (оцінка майна)</t>
  </si>
  <si>
    <t>79990000-0 Різні послуги, пов’язані з діловою сферою</t>
  </si>
  <si>
    <t>UA-P-2018-02-02-009882-b</t>
  </si>
  <si>
    <t>44420000-0 44420000-0 - Будівельні товари</t>
  </si>
  <si>
    <t>44420000-0 Будівельні товари</t>
  </si>
  <si>
    <t>UA-P-2018-01-23-016225-c</t>
  </si>
  <si>
    <t>72410000-7 Послуги провайдерів (інтернет)</t>
  </si>
  <si>
    <t>UA-P-2018-04-25-002253-a</t>
  </si>
  <si>
    <t>39510000-0 39510000-0 - Вироби домашнього текстилю (жалюзі)</t>
  </si>
  <si>
    <t>39510000-0 Вироби домашнього текстилю</t>
  </si>
  <si>
    <t>UA-P-2018-04-03-005069-a</t>
  </si>
  <si>
    <t>24910000-6 24910000-6 - Клеї</t>
  </si>
  <si>
    <t>UA-P-2017-02-24-002054-c</t>
  </si>
  <si>
    <t>38550000-5 38550000-5 Лічильники</t>
  </si>
  <si>
    <t>38550000-5 Лічильники</t>
  </si>
  <si>
    <t>UA-P-2018-02-02-009863-b</t>
  </si>
  <si>
    <t>31510000-4 31510000-4 - Електричні лампи розжарення</t>
  </si>
  <si>
    <t>31510000-4 Електричні лампи розжарення</t>
  </si>
  <si>
    <t>UA-P-2018-01-25-010792-b</t>
  </si>
  <si>
    <t>UA-P-2018-03-07-002289-c</t>
  </si>
  <si>
    <t>42160000-8 42160000-8 - Котельні установки</t>
  </si>
  <si>
    <t>42160000-8 Котельні установки</t>
  </si>
  <si>
    <t>UA-P-2018-03-23-004862-b</t>
  </si>
  <si>
    <t>44410000-7 
44410000-7 - Вироби для ванної кімнати та кухні</t>
  </si>
  <si>
    <t>UA-P-2018-03-23-004873-b</t>
  </si>
  <si>
    <t>UA-P-2018-03-23-004809-b</t>
  </si>
  <si>
    <t>09130000-9 Нафта і дистиляти. Бензин А-95, бензин А-92, дизельне паливо.</t>
  </si>
  <si>
    <t>UA-P-2018-02-16-001402-c</t>
  </si>
  <si>
    <t>79990000-0 79990000-0 Різні послуги, пов’язані з діловою сферою</t>
  </si>
  <si>
    <t>UA-P-2018-02-13-006658-c</t>
  </si>
  <si>
    <t>44190000-8 44190000-8 Конструкційні матеріали різні</t>
  </si>
  <si>
    <t>44190000-8 Конструкційні матеріали різні</t>
  </si>
  <si>
    <t>UA-P-2018-01-30-009772-c</t>
  </si>
  <si>
    <t>UA-P-2018-02-28-005110-c</t>
  </si>
  <si>
    <t>30230000-0 30230000-0 - Комп’ютерне обладнання</t>
  </si>
  <si>
    <t>30230000-0 Комп’ютерне обладнання</t>
  </si>
  <si>
    <t>UA-P-2018-01-25-011400-b</t>
  </si>
  <si>
    <t>31710000-6 31710000-6 - Електронне обладнання</t>
  </si>
  <si>
    <t>31710000-6 Електронне обладнання</t>
  </si>
  <si>
    <t>UA-P-2018-04-18-005910-a</t>
  </si>
  <si>
    <t>UA-P-2018-04-24-000506-a</t>
  </si>
  <si>
    <t>24310000-0 24310000-0 Основні неорганічні хімічні речовини (карбід)</t>
  </si>
  <si>
    <t>UA-P-2018-04-03-005077-a</t>
  </si>
  <si>
    <t>44820000-4 44820000-4 - Лаки</t>
  </si>
  <si>
    <t>44820000-4 Лаки</t>
  </si>
  <si>
    <t>UA-P-2018-05-17-001364-a</t>
  </si>
  <si>
    <t>UA-P-2018-02-13-006663-c</t>
  </si>
  <si>
    <t>UA-P-2018-01-22-013116-c</t>
  </si>
  <si>
    <t>UA-P-2018-02-13-006668-c</t>
  </si>
  <si>
    <t>39830000-9 39830000-9 - Продукція для чищення</t>
  </si>
  <si>
    <t>39830000-9 Продукція для чищення</t>
  </si>
  <si>
    <t>UA-P-2018-01-23-016161-c</t>
  </si>
  <si>
    <t>31680000-6 Електричне приладдя та супутні товари до електричного обладнання (опора залізобетонна)</t>
  </si>
  <si>
    <t>31680000-6 Електричне приладдя та супутні товари до електричного обладнання</t>
  </si>
  <si>
    <t>UA-P-2018-01-25-011307-b</t>
  </si>
  <si>
    <t>UA-P-2018-02-06-002043-a</t>
  </si>
  <si>
    <t>ДОДАТОК ДО РІЧНОГО ПЛАНУ</t>
  </si>
  <si>
    <t>КП «ЗЕЛЕНОСВІТ»</t>
  </si>
  <si>
    <t>ЄДРПОУ ЗЗ932580</t>
  </si>
  <si>
    <r>
      <t xml:space="preserve">закупівель на </t>
    </r>
    <r>
      <rPr>
        <b/>
        <sz val="15"/>
        <rFont val="Times New Roman"/>
        <family val="1"/>
        <charset val="204"/>
      </rPr>
      <t>2018</t>
    </r>
    <r>
      <rPr>
        <b/>
        <sz val="15"/>
        <rFont val="Times New Roman"/>
        <family val="1"/>
      </rPr>
      <t xml:space="preserve"> рік</t>
    </r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</si>
</sst>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yy\ hh:mm"/>
  </numFmts>
  <fonts count="10">
    <font>
      <sz val="10"/>
      <name val="Arial"/>
      <charset val="1"/>
    </font>
    <font>
      <sz val="10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  <font>
      <b/>
      <sz val="15"/>
      <name val="Times New Roman"/>
      <family val="1"/>
    </font>
    <font>
      <b/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7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4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146"/>
  <sheetViews>
    <sheetView tabSelected="1" workbookViewId="0">
      <pane ySplit="6" topLeftCell="A7" activePane="bottomLeft" state="frozen"/>
      <selection pane="bottomLeft" activeCell="H144" sqref="H144"/>
    </sheetView>
  </sheetViews>
  <sheetFormatPr defaultRowHeight="12.75"/>
  <cols>
    <col min="1" max="1" width="23.7109375" bestFit="1" customWidth="1"/>
    <col min="2" max="2" width="35" customWidth="1"/>
    <col min="3" max="3" width="11.7109375" bestFit="1" customWidth="1"/>
    <col min="4" max="4" width="8.140625" bestFit="1" customWidth="1"/>
    <col min="5" max="5" width="15.5703125" bestFit="1" customWidth="1"/>
    <col min="6" max="6" width="15.42578125" bestFit="1" customWidth="1"/>
    <col min="7" max="7" width="56.85546875" customWidth="1"/>
    <col min="8" max="8" width="61.85546875" bestFit="1" customWidth="1"/>
  </cols>
  <sheetData>
    <row r="1" spans="1:9" ht="19.5">
      <c r="A1" s="9" t="s">
        <v>358</v>
      </c>
      <c r="B1" s="9"/>
      <c r="C1" s="9"/>
      <c r="D1" s="9"/>
      <c r="E1" s="9"/>
      <c r="F1" s="9"/>
      <c r="G1" s="9"/>
      <c r="H1" s="9"/>
      <c r="I1" s="9"/>
    </row>
    <row r="2" spans="1:9" ht="19.5">
      <c r="A2" s="9" t="s">
        <v>361</v>
      </c>
      <c r="B2" s="9"/>
      <c r="C2" s="9"/>
      <c r="D2" s="9"/>
      <c r="E2" s="9"/>
      <c r="F2" s="9"/>
      <c r="G2" s="9"/>
      <c r="H2" s="9"/>
      <c r="I2" s="9"/>
    </row>
    <row r="3" spans="1:9" ht="19.5">
      <c r="A3" s="9" t="s">
        <v>359</v>
      </c>
      <c r="B3" s="9"/>
      <c r="C3" s="9"/>
      <c r="D3" s="9"/>
      <c r="E3" s="9"/>
      <c r="F3" s="9"/>
      <c r="G3" s="9"/>
      <c r="H3" s="9"/>
      <c r="I3" s="9"/>
    </row>
    <row r="4" spans="1:9" ht="19.5">
      <c r="A4" s="10" t="s">
        <v>360</v>
      </c>
      <c r="B4" s="10"/>
      <c r="C4" s="10"/>
      <c r="D4" s="10"/>
      <c r="E4" s="10"/>
      <c r="F4" s="10"/>
      <c r="G4" s="10"/>
      <c r="H4" s="10"/>
      <c r="I4" s="10"/>
    </row>
    <row r="5" spans="1:9" ht="13.5" thickBot="1"/>
    <row r="6" spans="1:9" ht="64.5" thickBot="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</row>
    <row r="7" spans="1:9" ht="51">
      <c r="A7" s="1" t="s">
        <v>278</v>
      </c>
      <c r="B7" s="3" t="s">
        <v>279</v>
      </c>
      <c r="C7" s="4">
        <v>5000</v>
      </c>
      <c r="D7" s="8" t="s">
        <v>10</v>
      </c>
      <c r="E7" s="5">
        <v>43213</v>
      </c>
      <c r="F7" s="6">
        <v>43191.125</v>
      </c>
      <c r="G7" s="1" t="s">
        <v>280</v>
      </c>
      <c r="H7" s="7" t="str">
        <f>HYPERLINK("https://my.zakupki.prom.ua/cabinet/purchases/state_plan/view/4785275")</f>
        <v>https://my.zakupki.prom.ua/cabinet/purchases/state_plan/view/4785275</v>
      </c>
    </row>
    <row r="8" spans="1:9">
      <c r="A8" s="1" t="s">
        <v>21</v>
      </c>
      <c r="B8" s="3" t="s">
        <v>22</v>
      </c>
      <c r="C8" s="4">
        <v>8960</v>
      </c>
      <c r="D8" s="1" t="s">
        <v>10</v>
      </c>
      <c r="E8" s="5">
        <v>43357</v>
      </c>
      <c r="F8" s="6">
        <v>43344.125</v>
      </c>
      <c r="G8" s="1" t="s">
        <v>23</v>
      </c>
      <c r="H8" s="7" t="str">
        <f>HYPERLINK("https://my.zakupki.prom.ua/cabinet/purchases/state_plan/view/5648642")</f>
        <v>https://my.zakupki.prom.ua/cabinet/purchases/state_plan/view/5648642</v>
      </c>
    </row>
    <row r="9" spans="1:9">
      <c r="A9" s="1" t="s">
        <v>30</v>
      </c>
      <c r="B9" s="3" t="s">
        <v>31</v>
      </c>
      <c r="C9" s="4">
        <v>4062.2</v>
      </c>
      <c r="D9" s="1" t="s">
        <v>10</v>
      </c>
      <c r="E9" s="5">
        <v>43329</v>
      </c>
      <c r="F9" s="6">
        <v>43435.083333333336</v>
      </c>
      <c r="G9" s="1" t="s">
        <v>32</v>
      </c>
      <c r="H9" s="7" t="str">
        <f>HYPERLINK("https://my.zakupki.prom.ua/cabinet/purchases/state_plan/view/5492616")</f>
        <v>https://my.zakupki.prom.ua/cabinet/purchases/state_plan/view/5492616</v>
      </c>
    </row>
    <row r="10" spans="1:9" ht="25.5">
      <c r="A10" s="1" t="s">
        <v>205</v>
      </c>
      <c r="B10" s="3" t="s">
        <v>206</v>
      </c>
      <c r="C10" s="4">
        <v>20000</v>
      </c>
      <c r="D10" s="1" t="s">
        <v>10</v>
      </c>
      <c r="E10" s="5">
        <v>43104</v>
      </c>
      <c r="F10" s="6">
        <v>43101.083333333336</v>
      </c>
      <c r="G10" s="1" t="s">
        <v>32</v>
      </c>
      <c r="H10" s="7" t="str">
        <f>HYPERLINK("https://my.zakupki.prom.ua/cabinet/purchases/state_plan/view/3592130")</f>
        <v>https://my.zakupki.prom.ua/cabinet/purchases/state_plan/view/3592130</v>
      </c>
    </row>
    <row r="11" spans="1:9" ht="25.5">
      <c r="A11" s="1" t="s">
        <v>48</v>
      </c>
      <c r="B11" s="3" t="s">
        <v>49</v>
      </c>
      <c r="C11" s="4">
        <v>2500</v>
      </c>
      <c r="D11" s="1" t="s">
        <v>10</v>
      </c>
      <c r="E11" s="5">
        <v>43300</v>
      </c>
      <c r="F11" s="6">
        <v>43282.125</v>
      </c>
      <c r="G11" s="1" t="s">
        <v>50</v>
      </c>
      <c r="H11" s="7" t="str">
        <f>HYPERLINK("https://my.zakupki.prom.ua/cabinet/purchases/state_plan/view/5328870")</f>
        <v>https://my.zakupki.prom.ua/cabinet/purchases/state_plan/view/5328870</v>
      </c>
    </row>
    <row r="12" spans="1:9" ht="25.5">
      <c r="A12" s="1" t="s">
        <v>91</v>
      </c>
      <c r="B12" s="3" t="s">
        <v>49</v>
      </c>
      <c r="C12" s="4">
        <v>107000</v>
      </c>
      <c r="D12" s="1" t="s">
        <v>10</v>
      </c>
      <c r="E12" s="5">
        <v>43216</v>
      </c>
      <c r="F12" s="6">
        <v>43191.125</v>
      </c>
      <c r="G12" s="1" t="s">
        <v>50</v>
      </c>
      <c r="H12" s="7" t="str">
        <f>HYPERLINK("https://my.zakupki.prom.ua/cabinet/purchases/state_plan/view/4813516")</f>
        <v>https://my.zakupki.prom.ua/cabinet/purchases/state_plan/view/4813516</v>
      </c>
    </row>
    <row r="13" spans="1:9" ht="25.5">
      <c r="A13" s="1" t="s">
        <v>210</v>
      </c>
      <c r="B13" s="3" t="s">
        <v>211</v>
      </c>
      <c r="C13" s="4">
        <v>90000</v>
      </c>
      <c r="D13" s="1" t="s">
        <v>10</v>
      </c>
      <c r="E13" s="5">
        <v>43104</v>
      </c>
      <c r="F13" s="6">
        <v>43101.083333333336</v>
      </c>
      <c r="G13" s="1" t="s">
        <v>50</v>
      </c>
      <c r="H13" s="7" t="str">
        <f>HYPERLINK("https://my.zakupki.prom.ua/cabinet/purchases/state_plan/view/3592125")</f>
        <v>https://my.zakupki.prom.ua/cabinet/purchases/state_plan/view/3592125</v>
      </c>
    </row>
    <row r="14" spans="1:9">
      <c r="A14" s="1" t="s">
        <v>101</v>
      </c>
      <c r="B14" s="3" t="s">
        <v>102</v>
      </c>
      <c r="C14" s="4">
        <v>50000</v>
      </c>
      <c r="D14" s="1" t="s">
        <v>10</v>
      </c>
      <c r="E14" s="5">
        <v>43105</v>
      </c>
      <c r="F14" s="6">
        <v>43101.083333333336</v>
      </c>
      <c r="G14" s="1" t="s">
        <v>103</v>
      </c>
      <c r="H14" s="7" t="str">
        <f>HYPERLINK("https://my.zakupki.prom.ua/cabinet/purchases/state_plan/view/3601190")</f>
        <v>https://my.zakupki.prom.ua/cabinet/purchases/state_plan/view/3601190</v>
      </c>
    </row>
    <row r="15" spans="1:9" ht="25.5">
      <c r="A15" s="1" t="s">
        <v>156</v>
      </c>
      <c r="B15" s="3" t="s">
        <v>157</v>
      </c>
      <c r="C15" s="4">
        <v>70000</v>
      </c>
      <c r="D15" s="1" t="s">
        <v>10</v>
      </c>
      <c r="E15" s="5">
        <v>43105</v>
      </c>
      <c r="F15" s="6">
        <v>43101.083333333336</v>
      </c>
      <c r="G15" s="1" t="s">
        <v>158</v>
      </c>
      <c r="H15" s="7" t="str">
        <f>HYPERLINK("https://my.zakupki.prom.ua/cabinet/purchases/state_plan/view/3594748")</f>
        <v>https://my.zakupki.prom.ua/cabinet/purchases/state_plan/view/3594748</v>
      </c>
    </row>
    <row r="16" spans="1:9" ht="25.5">
      <c r="A16" s="1" t="s">
        <v>57</v>
      </c>
      <c r="B16" s="3" t="s">
        <v>58</v>
      </c>
      <c r="C16" s="4">
        <v>60684</v>
      </c>
      <c r="D16" s="1" t="s">
        <v>10</v>
      </c>
      <c r="E16" s="5">
        <v>43300</v>
      </c>
      <c r="F16" s="6">
        <v>43282.125</v>
      </c>
      <c r="G16" s="1" t="s">
        <v>59</v>
      </c>
      <c r="H16" s="7" t="str">
        <f>HYPERLINK("https://my.zakupki.prom.ua/cabinet/purchases/state_plan/view/5328788")</f>
        <v>https://my.zakupki.prom.ua/cabinet/purchases/state_plan/view/5328788</v>
      </c>
    </row>
    <row r="17" spans="1:8" ht="25.5">
      <c r="A17" s="1" t="s">
        <v>224</v>
      </c>
      <c r="B17" s="3" t="s">
        <v>58</v>
      </c>
      <c r="C17" s="4">
        <v>10000</v>
      </c>
      <c r="D17" s="1" t="s">
        <v>10</v>
      </c>
      <c r="E17" s="5">
        <v>43104</v>
      </c>
      <c r="F17" s="6">
        <v>43101.083333333336</v>
      </c>
      <c r="G17" s="1" t="s">
        <v>59</v>
      </c>
      <c r="H17" s="7" t="str">
        <f>HYPERLINK("https://my.zakupki.prom.ua/cabinet/purchases/state_plan/view/3592016")</f>
        <v>https://my.zakupki.prom.ua/cabinet/purchases/state_plan/view/3592016</v>
      </c>
    </row>
    <row r="18" spans="1:8" ht="25.5">
      <c r="A18" s="1" t="s">
        <v>347</v>
      </c>
      <c r="B18" s="3" t="s">
        <v>58</v>
      </c>
      <c r="C18" s="4">
        <v>15000</v>
      </c>
      <c r="D18" s="1" t="s">
        <v>10</v>
      </c>
      <c r="E18" s="5">
        <v>43237</v>
      </c>
      <c r="F18" s="6">
        <v>43221.125</v>
      </c>
      <c r="G18" s="1" t="s">
        <v>59</v>
      </c>
      <c r="H18" s="7" t="str">
        <f>HYPERLINK("https://my.zakupki.prom.ua/cabinet/purchases/state_plan/view/4933689")</f>
        <v>https://my.zakupki.prom.ua/cabinet/purchases/state_plan/view/4933689</v>
      </c>
    </row>
    <row r="19" spans="1:8" ht="25.5">
      <c r="A19" s="1" t="s">
        <v>240</v>
      </c>
      <c r="B19" s="3" t="s">
        <v>241</v>
      </c>
      <c r="C19" s="4">
        <v>20000</v>
      </c>
      <c r="D19" s="1" t="s">
        <v>10</v>
      </c>
      <c r="E19" s="5">
        <v>43104</v>
      </c>
      <c r="F19" s="6">
        <v>43101.083333333336</v>
      </c>
      <c r="G19" s="1" t="s">
        <v>242</v>
      </c>
      <c r="H19" s="7" t="str">
        <f>HYPERLINK("https://my.zakupki.prom.ua/cabinet/purchases/state_plan/view/3591889")</f>
        <v>https://my.zakupki.prom.ua/cabinet/purchases/state_plan/view/3591889</v>
      </c>
    </row>
    <row r="20" spans="1:8">
      <c r="A20" s="1" t="s">
        <v>39</v>
      </c>
      <c r="B20" s="3" t="s">
        <v>40</v>
      </c>
      <c r="C20" s="4">
        <v>600</v>
      </c>
      <c r="D20" s="1" t="s">
        <v>10</v>
      </c>
      <c r="E20" s="5">
        <v>43315</v>
      </c>
      <c r="F20" s="6">
        <v>43313.125</v>
      </c>
      <c r="G20" s="1" t="s">
        <v>40</v>
      </c>
      <c r="H20" s="7" t="str">
        <f>HYPERLINK("https://my.zakupki.prom.ua/cabinet/purchases/state_plan/view/5409297")</f>
        <v>https://my.zakupki.prom.ua/cabinet/purchases/state_plan/view/5409297</v>
      </c>
    </row>
    <row r="21" spans="1:8">
      <c r="A21" s="1" t="s">
        <v>41</v>
      </c>
      <c r="B21" s="3" t="s">
        <v>40</v>
      </c>
      <c r="C21" s="4">
        <v>1300</v>
      </c>
      <c r="D21" s="1" t="s">
        <v>10</v>
      </c>
      <c r="E21" s="5">
        <v>43315</v>
      </c>
      <c r="F21" s="6">
        <v>43313.125</v>
      </c>
      <c r="G21" s="1" t="s">
        <v>40</v>
      </c>
      <c r="H21" s="7" t="str">
        <f>HYPERLINK("https://my.zakupki.prom.ua/cabinet/purchases/state_plan/view/5408663")</f>
        <v>https://my.zakupki.prom.ua/cabinet/purchases/state_plan/view/5408663</v>
      </c>
    </row>
    <row r="22" spans="1:8" ht="38.25">
      <c r="A22" s="1" t="s">
        <v>8</v>
      </c>
      <c r="B22" s="3" t="s">
        <v>9</v>
      </c>
      <c r="C22" s="4">
        <v>12500</v>
      </c>
      <c r="D22" s="1" t="s">
        <v>10</v>
      </c>
      <c r="E22" s="5">
        <v>43448</v>
      </c>
      <c r="F22" s="6">
        <v>43435.083333333336</v>
      </c>
      <c r="G22" s="1" t="s">
        <v>11</v>
      </c>
      <c r="H22" s="7" t="str">
        <f>HYPERLINK("https://my.zakupki.prom.ua/cabinet/purchases/state_plan/view/6348041")</f>
        <v>https://my.zakupki.prom.ua/cabinet/purchases/state_plan/view/6348041</v>
      </c>
    </row>
    <row r="23" spans="1:8" ht="25.5">
      <c r="A23" s="1" t="s">
        <v>237</v>
      </c>
      <c r="B23" s="3" t="s">
        <v>238</v>
      </c>
      <c r="C23" s="4">
        <v>90000</v>
      </c>
      <c r="D23" s="1" t="s">
        <v>10</v>
      </c>
      <c r="E23" s="5">
        <v>43104</v>
      </c>
      <c r="F23" s="6">
        <v>43101.083333333336</v>
      </c>
      <c r="G23" s="1" t="s">
        <v>239</v>
      </c>
      <c r="H23" s="7" t="str">
        <f>HYPERLINK("https://my.zakupki.prom.ua/cabinet/purchases/state_plan/view/3591956")</f>
        <v>https://my.zakupki.prom.ua/cabinet/purchases/state_plan/view/3591956</v>
      </c>
    </row>
    <row r="24" spans="1:8" ht="25.5">
      <c r="A24" s="1" t="s">
        <v>234</v>
      </c>
      <c r="B24" s="3" t="s">
        <v>235</v>
      </c>
      <c r="C24" s="4">
        <v>50000</v>
      </c>
      <c r="D24" s="1" t="s">
        <v>10</v>
      </c>
      <c r="E24" s="5">
        <v>43104</v>
      </c>
      <c r="F24" s="6">
        <v>43101.083333333336</v>
      </c>
      <c r="G24" s="1" t="s">
        <v>236</v>
      </c>
      <c r="H24" s="7" t="str">
        <f>HYPERLINK("https://my.zakupki.prom.ua/cabinet/purchases/state_plan/view/3591963")</f>
        <v>https://my.zakupki.prom.ua/cabinet/purchases/state_plan/view/3591963</v>
      </c>
    </row>
    <row r="25" spans="1:8" ht="38.25">
      <c r="A25" s="1" t="s">
        <v>225</v>
      </c>
      <c r="B25" s="3" t="s">
        <v>226</v>
      </c>
      <c r="C25" s="4">
        <v>30000</v>
      </c>
      <c r="D25" s="1" t="s">
        <v>10</v>
      </c>
      <c r="E25" s="5">
        <v>43104</v>
      </c>
      <c r="F25" s="6">
        <v>43101.083333333336</v>
      </c>
      <c r="G25" s="1" t="s">
        <v>227</v>
      </c>
      <c r="H25" s="7" t="str">
        <f>HYPERLINK("https://my.zakupki.prom.ua/cabinet/purchases/state_plan/view/3592008")</f>
        <v>https://my.zakupki.prom.ua/cabinet/purchases/state_plan/view/3592008</v>
      </c>
    </row>
    <row r="26" spans="1:8" ht="25.5">
      <c r="A26" s="1" t="s">
        <v>212</v>
      </c>
      <c r="B26" s="3" t="s">
        <v>213</v>
      </c>
      <c r="C26" s="4">
        <v>5000</v>
      </c>
      <c r="D26" s="1" t="s">
        <v>10</v>
      </c>
      <c r="E26" s="5">
        <v>43104</v>
      </c>
      <c r="F26" s="6">
        <v>43101.083333333336</v>
      </c>
      <c r="G26" s="1" t="s">
        <v>214</v>
      </c>
      <c r="H26" s="7" t="str">
        <f>HYPERLINK("https://my.zakupki.prom.ua/cabinet/purchases/state_plan/view/3592085")</f>
        <v>https://my.zakupki.prom.ua/cabinet/purchases/state_plan/view/3592085</v>
      </c>
    </row>
    <row r="27" spans="1:8" ht="38.25">
      <c r="A27" s="1" t="s">
        <v>181</v>
      </c>
      <c r="B27" s="3" t="s">
        <v>182</v>
      </c>
      <c r="C27" s="4">
        <v>4000</v>
      </c>
      <c r="D27" s="1" t="s">
        <v>10</v>
      </c>
      <c r="E27" s="5">
        <v>43105</v>
      </c>
      <c r="F27" s="6">
        <v>43101.083333333336</v>
      </c>
      <c r="G27" s="1" t="s">
        <v>183</v>
      </c>
      <c r="H27" s="7" t="str">
        <f>HYPERLINK("https://my.zakupki.prom.ua/cabinet/purchases/state_plan/view/3594267")</f>
        <v>https://my.zakupki.prom.ua/cabinet/purchases/state_plan/view/3594267</v>
      </c>
    </row>
    <row r="28" spans="1:8" ht="25.5">
      <c r="A28" s="1" t="s">
        <v>75</v>
      </c>
      <c r="B28" s="3" t="s">
        <v>76</v>
      </c>
      <c r="C28" s="4">
        <v>2000</v>
      </c>
      <c r="D28" s="1" t="s">
        <v>10</v>
      </c>
      <c r="E28" s="5">
        <v>43273</v>
      </c>
      <c r="F28" s="6">
        <v>43252.125</v>
      </c>
      <c r="G28" s="1" t="s">
        <v>77</v>
      </c>
      <c r="H28" s="7" t="str">
        <f>HYPERLINK("https://my.zakupki.prom.ua/cabinet/purchases/state_plan/view/5184586")</f>
        <v>https://my.zakupki.prom.ua/cabinet/purchases/state_plan/view/5184586</v>
      </c>
    </row>
    <row r="29" spans="1:8" ht="25.5">
      <c r="A29" s="1" t="s">
        <v>51</v>
      </c>
      <c r="B29" s="3" t="s">
        <v>52</v>
      </c>
      <c r="C29" s="4">
        <v>3000</v>
      </c>
      <c r="D29" s="1" t="s">
        <v>10</v>
      </c>
      <c r="E29" s="5">
        <v>43300</v>
      </c>
      <c r="F29" s="6">
        <v>43282.125</v>
      </c>
      <c r="G29" s="1" t="s">
        <v>53</v>
      </c>
      <c r="H29" s="7" t="str">
        <f>HYPERLINK("https://my.zakupki.prom.ua/cabinet/purchases/state_plan/view/5328832")</f>
        <v>https://my.zakupki.prom.ua/cabinet/purchases/state_plan/view/5328832</v>
      </c>
    </row>
    <row r="30" spans="1:8" ht="25.5">
      <c r="A30" s="1" t="s">
        <v>184</v>
      </c>
      <c r="B30" s="3" t="s">
        <v>185</v>
      </c>
      <c r="C30" s="4">
        <v>16000</v>
      </c>
      <c r="D30" s="1" t="s">
        <v>10</v>
      </c>
      <c r="E30" s="5">
        <v>43105</v>
      </c>
      <c r="F30" s="6">
        <v>43101.083333333336</v>
      </c>
      <c r="G30" s="1" t="s">
        <v>186</v>
      </c>
      <c r="H30" s="7" t="str">
        <f>HYPERLINK("https://my.zakupki.prom.ua/cabinet/purchases/state_plan/view/3594262")</f>
        <v>https://my.zakupki.prom.ua/cabinet/purchases/state_plan/view/3594262</v>
      </c>
    </row>
    <row r="31" spans="1:8">
      <c r="A31" s="1" t="s">
        <v>85</v>
      </c>
      <c r="B31" s="3" t="s">
        <v>86</v>
      </c>
      <c r="C31" s="4">
        <v>3090</v>
      </c>
      <c r="D31" s="1" t="s">
        <v>10</v>
      </c>
      <c r="E31" s="5">
        <v>43257</v>
      </c>
      <c r="F31" s="6">
        <v>43252.125</v>
      </c>
      <c r="G31" s="1" t="s">
        <v>87</v>
      </c>
      <c r="H31" s="7" t="str">
        <f>HYPERLINK("https://my.zakupki.prom.ua/cabinet/purchases/state_plan/view/5061827")</f>
        <v>https://my.zakupki.prom.ua/cabinet/purchases/state_plan/view/5061827</v>
      </c>
    </row>
    <row r="32" spans="1:8" ht="25.5">
      <c r="A32" s="1" t="s">
        <v>175</v>
      </c>
      <c r="B32" s="3" t="s">
        <v>176</v>
      </c>
      <c r="C32" s="4">
        <v>1000</v>
      </c>
      <c r="D32" s="1" t="s">
        <v>10</v>
      </c>
      <c r="E32" s="5">
        <v>43105</v>
      </c>
      <c r="F32" s="6">
        <v>43101.083333333336</v>
      </c>
      <c r="G32" s="1" t="s">
        <v>177</v>
      </c>
      <c r="H32" s="7" t="str">
        <f>HYPERLINK("https://my.zakupki.prom.ua/cabinet/purchases/state_plan/view/3594442")</f>
        <v>https://my.zakupki.prom.ua/cabinet/purchases/state_plan/view/3594442</v>
      </c>
    </row>
    <row r="33" spans="1:8" ht="25.5">
      <c r="A33" s="1" t="s">
        <v>341</v>
      </c>
      <c r="B33" s="3" t="s">
        <v>176</v>
      </c>
      <c r="C33" s="4">
        <v>440</v>
      </c>
      <c r="D33" s="1" t="s">
        <v>10</v>
      </c>
      <c r="E33" s="5">
        <v>43208</v>
      </c>
      <c r="F33" s="6">
        <v>43191.125</v>
      </c>
      <c r="G33" s="1" t="s">
        <v>177</v>
      </c>
      <c r="H33" s="7" t="str">
        <f>HYPERLINK("https://my.zakupki.prom.ua/cabinet/purchases/state_plan/view/4752053")</f>
        <v>https://my.zakupki.prom.ua/cabinet/purchases/state_plan/view/4752053</v>
      </c>
    </row>
    <row r="34" spans="1:8" ht="25.5">
      <c r="A34" s="1" t="s">
        <v>281</v>
      </c>
      <c r="B34" s="3" t="s">
        <v>282</v>
      </c>
      <c r="C34" s="4">
        <v>550</v>
      </c>
      <c r="D34" s="1" t="s">
        <v>10</v>
      </c>
      <c r="E34" s="5">
        <v>43193</v>
      </c>
      <c r="F34" s="6">
        <v>43191.125</v>
      </c>
      <c r="G34" s="1" t="s">
        <v>283</v>
      </c>
      <c r="H34" s="7" t="str">
        <f>HYPERLINK("https://my.zakupki.prom.ua/cabinet/purchases/state_plan/view/4660893")</f>
        <v>https://my.zakupki.prom.ua/cabinet/purchases/state_plan/view/4660893</v>
      </c>
    </row>
    <row r="35" spans="1:8" ht="25.5">
      <c r="A35" s="1" t="s">
        <v>342</v>
      </c>
      <c r="B35" s="3" t="s">
        <v>343</v>
      </c>
      <c r="C35" s="4">
        <v>1000</v>
      </c>
      <c r="D35" s="1" t="s">
        <v>10</v>
      </c>
      <c r="E35" s="5">
        <v>43214</v>
      </c>
      <c r="F35" s="6">
        <v>43191.125</v>
      </c>
      <c r="G35" s="1" t="s">
        <v>283</v>
      </c>
      <c r="H35" s="7" t="str">
        <f>HYPERLINK("https://my.zakupki.prom.ua/cabinet/purchases/state_plan/view/4787090")</f>
        <v>https://my.zakupki.prom.ua/cabinet/purchases/state_plan/view/4787090</v>
      </c>
    </row>
    <row r="36" spans="1:8">
      <c r="A36" s="1" t="s">
        <v>178</v>
      </c>
      <c r="B36" s="3" t="s">
        <v>179</v>
      </c>
      <c r="C36" s="4">
        <v>5000</v>
      </c>
      <c r="D36" s="1" t="s">
        <v>10</v>
      </c>
      <c r="E36" s="5">
        <v>43105</v>
      </c>
      <c r="F36" s="6">
        <v>43101.083333333336</v>
      </c>
      <c r="G36" s="1" t="s">
        <v>180</v>
      </c>
      <c r="H36" s="7" t="str">
        <f>HYPERLINK("https://my.zakupki.prom.ua/cabinet/purchases/state_plan/view/3594270")</f>
        <v>https://my.zakupki.prom.ua/cabinet/purchases/state_plan/view/3594270</v>
      </c>
    </row>
    <row r="37" spans="1:8">
      <c r="A37" s="1" t="s">
        <v>27</v>
      </c>
      <c r="B37" s="3" t="s">
        <v>28</v>
      </c>
      <c r="C37" s="4">
        <v>1000</v>
      </c>
      <c r="D37" s="1" t="s">
        <v>10</v>
      </c>
      <c r="E37" s="5">
        <v>43332</v>
      </c>
      <c r="F37" s="6">
        <v>43313.125</v>
      </c>
      <c r="G37" s="1" t="s">
        <v>29</v>
      </c>
      <c r="H37" s="7" t="str">
        <f>HYPERLINK("https://my.zakupki.prom.ua/cabinet/purchases/state_plan/view/5501507")</f>
        <v>https://my.zakupki.prom.ua/cabinet/purchases/state_plan/view/5501507</v>
      </c>
    </row>
    <row r="38" spans="1:8">
      <c r="A38" s="1" t="s">
        <v>312</v>
      </c>
      <c r="B38" s="3" t="s">
        <v>313</v>
      </c>
      <c r="C38" s="4">
        <v>2000</v>
      </c>
      <c r="D38" s="1" t="s">
        <v>10</v>
      </c>
      <c r="E38" s="5">
        <v>43193</v>
      </c>
      <c r="F38" s="6">
        <v>43191.125</v>
      </c>
      <c r="G38" s="1" t="s">
        <v>29</v>
      </c>
      <c r="H38" s="7" t="str">
        <f>HYPERLINK("https://my.zakupki.prom.ua/cabinet/purchases/state_plan/view/4660783")</f>
        <v>https://my.zakupki.prom.ua/cabinet/purchases/state_plan/view/4660783</v>
      </c>
    </row>
    <row r="39" spans="1:8" ht="25.5">
      <c r="A39" s="1" t="s">
        <v>243</v>
      </c>
      <c r="B39" s="3" t="s">
        <v>244</v>
      </c>
      <c r="C39" s="4">
        <v>20000</v>
      </c>
      <c r="D39" s="1" t="s">
        <v>10</v>
      </c>
      <c r="E39" s="5">
        <v>43104</v>
      </c>
      <c r="F39" s="6">
        <v>43101.083333333336</v>
      </c>
      <c r="G39" s="1" t="s">
        <v>245</v>
      </c>
      <c r="H39" s="7" t="str">
        <f>HYPERLINK("https://my.zakupki.prom.ua/cabinet/purchases/state_plan/view/3591885")</f>
        <v>https://my.zakupki.prom.ua/cabinet/purchases/state_plan/view/3591885</v>
      </c>
    </row>
    <row r="40" spans="1:8" ht="25.5">
      <c r="A40" s="1" t="s">
        <v>335</v>
      </c>
      <c r="B40" s="3" t="s">
        <v>336</v>
      </c>
      <c r="C40" s="4">
        <v>4000</v>
      </c>
      <c r="D40" s="1" t="s">
        <v>10</v>
      </c>
      <c r="E40" s="5">
        <v>43159</v>
      </c>
      <c r="F40" s="6">
        <v>43132.083333333336</v>
      </c>
      <c r="G40" s="1" t="s">
        <v>337</v>
      </c>
      <c r="H40" s="7" t="str">
        <f>HYPERLINK("https://my.zakupki.prom.ua/cabinet/purchases/state_plan/view/4413619")</f>
        <v>https://my.zakupki.prom.ua/cabinet/purchases/state_plan/view/4413619</v>
      </c>
    </row>
    <row r="41" spans="1:8" ht="25.5">
      <c r="A41" s="1" t="s">
        <v>348</v>
      </c>
      <c r="B41" s="3" t="s">
        <v>336</v>
      </c>
      <c r="C41" s="4">
        <v>3000</v>
      </c>
      <c r="D41" s="1" t="s">
        <v>10</v>
      </c>
      <c r="E41" s="5">
        <v>43144</v>
      </c>
      <c r="F41" s="6">
        <v>43132.083333333336</v>
      </c>
      <c r="G41" s="1" t="s">
        <v>337</v>
      </c>
      <c r="H41" s="7" t="str">
        <f>HYPERLINK("https://my.zakupki.prom.ua/cabinet/purchases/state_plan/view/4266385")</f>
        <v>https://my.zakupki.prom.ua/cabinet/purchases/state_plan/view/4266385</v>
      </c>
    </row>
    <row r="42" spans="1:8" ht="38.25">
      <c r="A42" s="1" t="s">
        <v>296</v>
      </c>
      <c r="B42" s="3" t="s">
        <v>297</v>
      </c>
      <c r="C42" s="4">
        <v>20000</v>
      </c>
      <c r="D42" s="1" t="s">
        <v>10</v>
      </c>
      <c r="E42" s="5">
        <v>43125</v>
      </c>
      <c r="F42" s="6">
        <v>43101.083333333336</v>
      </c>
      <c r="G42" s="1" t="s">
        <v>298</v>
      </c>
      <c r="H42" s="7" t="str">
        <f>HYPERLINK("https://my.zakupki.prom.ua/cabinet/purchases/state_plan/view/3951810")</f>
        <v>https://my.zakupki.prom.ua/cabinet/purchases/state_plan/view/3951810</v>
      </c>
    </row>
    <row r="43" spans="1:8" ht="25.5">
      <c r="A43" s="1" t="s">
        <v>78</v>
      </c>
      <c r="B43" s="3" t="s">
        <v>79</v>
      </c>
      <c r="C43" s="4">
        <v>25000</v>
      </c>
      <c r="D43" s="1" t="s">
        <v>10</v>
      </c>
      <c r="E43" s="5">
        <v>43273</v>
      </c>
      <c r="F43" s="6">
        <v>43252.125</v>
      </c>
      <c r="G43" s="1" t="s">
        <v>80</v>
      </c>
      <c r="H43" s="7" t="str">
        <f>HYPERLINK("https://my.zakupki.prom.ua/cabinet/purchases/state_plan/view/5184582")</f>
        <v>https://my.zakupki.prom.ua/cabinet/purchases/state_plan/view/5184582</v>
      </c>
    </row>
    <row r="44" spans="1:8" ht="25.5">
      <c r="A44" s="1" t="s">
        <v>356</v>
      </c>
      <c r="B44" s="3" t="s">
        <v>79</v>
      </c>
      <c r="C44" s="4">
        <v>20000</v>
      </c>
      <c r="D44" s="1" t="s">
        <v>10</v>
      </c>
      <c r="E44" s="5">
        <v>43125</v>
      </c>
      <c r="F44" s="6">
        <v>43101.083333333336</v>
      </c>
      <c r="G44" s="1" t="s">
        <v>80</v>
      </c>
      <c r="H44" s="7" t="str">
        <f>HYPERLINK("https://my.zakupki.prom.ua/cabinet/purchases/state_plan/view/3952371")</f>
        <v>https://my.zakupki.prom.ua/cabinet/purchases/state_plan/view/3952371</v>
      </c>
    </row>
    <row r="45" spans="1:8" ht="25.5">
      <c r="A45" s="1" t="s">
        <v>249</v>
      </c>
      <c r="B45" s="3" t="s">
        <v>250</v>
      </c>
      <c r="C45" s="4">
        <v>199000</v>
      </c>
      <c r="D45" s="1" t="s">
        <v>10</v>
      </c>
      <c r="E45" s="5">
        <v>43104</v>
      </c>
      <c r="F45" s="6">
        <v>43101.083333333336</v>
      </c>
      <c r="G45" s="1" t="s">
        <v>251</v>
      </c>
      <c r="H45" s="7" t="str">
        <f>HYPERLINK("https://my.zakupki.prom.ua/cabinet/purchases/state_plan/view/3591880")</f>
        <v>https://my.zakupki.prom.ua/cabinet/purchases/state_plan/view/3591880</v>
      </c>
    </row>
    <row r="46" spans="1:8" ht="25.5">
      <c r="A46" s="1" t="s">
        <v>207</v>
      </c>
      <c r="B46" s="3" t="s">
        <v>208</v>
      </c>
      <c r="C46" s="4">
        <v>40000</v>
      </c>
      <c r="D46" s="1" t="s">
        <v>10</v>
      </c>
      <c r="E46" s="5">
        <v>43104</v>
      </c>
      <c r="F46" s="6">
        <v>43101.083333333336</v>
      </c>
      <c r="G46" s="1" t="s">
        <v>209</v>
      </c>
      <c r="H46" s="7" t="str">
        <f>HYPERLINK("https://my.zakupki.prom.ua/cabinet/purchases/state_plan/view/3592127")</f>
        <v>https://my.zakupki.prom.ua/cabinet/purchases/state_plan/view/3592127</v>
      </c>
    </row>
    <row r="47" spans="1:8" ht="25.5">
      <c r="A47" s="1" t="s">
        <v>317</v>
      </c>
      <c r="B47" s="3" t="s">
        <v>318</v>
      </c>
      <c r="C47" s="4">
        <v>1000</v>
      </c>
      <c r="D47" s="1" t="s">
        <v>10</v>
      </c>
      <c r="E47" s="5">
        <v>43133</v>
      </c>
      <c r="F47" s="6">
        <v>43132.083333333336</v>
      </c>
      <c r="G47" s="1" t="s">
        <v>319</v>
      </c>
      <c r="H47" s="7" t="str">
        <f>HYPERLINK("https://my.zakupki.prom.ua/cabinet/purchases/state_plan/view/4129634")</f>
        <v>https://my.zakupki.prom.ua/cabinet/purchases/state_plan/view/4129634</v>
      </c>
    </row>
    <row r="49" spans="1:8" ht="38.25">
      <c r="A49" s="1" t="s">
        <v>252</v>
      </c>
      <c r="B49" s="3" t="s">
        <v>253</v>
      </c>
      <c r="C49" s="4">
        <v>199000</v>
      </c>
      <c r="D49" s="1" t="s">
        <v>10</v>
      </c>
      <c r="E49" s="5">
        <v>43104</v>
      </c>
      <c r="F49" s="6">
        <v>43101.083333333336</v>
      </c>
      <c r="G49" s="1" t="s">
        <v>254</v>
      </c>
      <c r="H49" s="7" t="str">
        <f>HYPERLINK("https://my.zakupki.prom.ua/cabinet/purchases/state_plan/view/3591835")</f>
        <v>https://my.zakupki.prom.ua/cabinet/purchases/state_plan/view/3591835</v>
      </c>
    </row>
    <row r="50" spans="1:8" ht="38.25">
      <c r="A50" s="1" t="s">
        <v>353</v>
      </c>
      <c r="B50" s="3" t="s">
        <v>354</v>
      </c>
      <c r="C50" s="4">
        <v>195000</v>
      </c>
      <c r="D50" s="1" t="s">
        <v>10</v>
      </c>
      <c r="E50" s="5">
        <v>43123</v>
      </c>
      <c r="F50" s="6">
        <v>43101.083333333336</v>
      </c>
      <c r="G50" s="1" t="s">
        <v>355</v>
      </c>
      <c r="H50" s="7" t="str">
        <f>HYPERLINK("https://my.zakupki.prom.ua/cabinet/purchases/state_plan/view/3888726")</f>
        <v>https://my.zakupki.prom.ua/cabinet/purchases/state_plan/view/3888726</v>
      </c>
    </row>
    <row r="51" spans="1:8" ht="25.5">
      <c r="A51" s="1" t="s">
        <v>338</v>
      </c>
      <c r="B51" s="3" t="s">
        <v>339</v>
      </c>
      <c r="C51" s="4">
        <v>20000</v>
      </c>
      <c r="D51" s="1" t="s">
        <v>10</v>
      </c>
      <c r="E51" s="5">
        <v>43125</v>
      </c>
      <c r="F51" s="6">
        <v>43101.083333333336</v>
      </c>
      <c r="G51" s="1" t="s">
        <v>340</v>
      </c>
      <c r="H51" s="7" t="str">
        <f>HYPERLINK("https://my.zakupki.prom.ua/cabinet/purchases/state_plan/view/3952412")</f>
        <v>https://my.zakupki.prom.ua/cabinet/purchases/state_plan/view/3952412</v>
      </c>
    </row>
    <row r="52" spans="1:8" ht="25.5">
      <c r="A52" s="1" t="s">
        <v>162</v>
      </c>
      <c r="B52" s="3" t="s">
        <v>163</v>
      </c>
      <c r="C52" s="4">
        <v>20000</v>
      </c>
      <c r="D52" s="1" t="s">
        <v>10</v>
      </c>
      <c r="E52" s="5">
        <v>43105</v>
      </c>
      <c r="F52" s="6">
        <v>43101.083333333336</v>
      </c>
      <c r="G52" s="1" t="s">
        <v>164</v>
      </c>
      <c r="H52" s="7" t="str">
        <f>HYPERLINK("https://my.zakupki.prom.ua/cabinet/purchases/state_plan/view/3594715")</f>
        <v>https://my.zakupki.prom.ua/cabinet/purchases/state_plan/view/3594715</v>
      </c>
    </row>
    <row r="53" spans="1:8" ht="25.5">
      <c r="A53" s="1" t="s">
        <v>255</v>
      </c>
      <c r="B53" s="3" t="s">
        <v>256</v>
      </c>
      <c r="C53" s="4">
        <v>160000</v>
      </c>
      <c r="D53" s="1" t="s">
        <v>10</v>
      </c>
      <c r="E53" s="5">
        <v>43104</v>
      </c>
      <c r="F53" s="6">
        <v>43101.083333333336</v>
      </c>
      <c r="G53" s="1" t="s">
        <v>257</v>
      </c>
      <c r="H53" s="7" t="str">
        <f>HYPERLINK("https://my.zakupki.prom.ua/cabinet/purchases/state_plan/view/3588866")</f>
        <v>https://my.zakupki.prom.ua/cabinet/purchases/state_plan/view/3588866</v>
      </c>
    </row>
    <row r="54" spans="1:8" ht="38.25">
      <c r="A54" s="1" t="s">
        <v>82</v>
      </c>
      <c r="B54" s="3" t="s">
        <v>83</v>
      </c>
      <c r="C54" s="4">
        <v>20000</v>
      </c>
      <c r="D54" s="1" t="s">
        <v>10</v>
      </c>
      <c r="E54" s="5">
        <v>43273</v>
      </c>
      <c r="F54" s="6">
        <v>43252.125</v>
      </c>
      <c r="G54" s="1" t="s">
        <v>84</v>
      </c>
      <c r="H54" s="7" t="str">
        <f>HYPERLINK("https://my.zakupki.prom.ua/cabinet/purchases/state_plan/view/5184577")</f>
        <v>https://my.zakupki.prom.ua/cabinet/purchases/state_plan/view/5184577</v>
      </c>
    </row>
    <row r="55" spans="1:8" ht="51">
      <c r="A55" s="1" t="s">
        <v>202</v>
      </c>
      <c r="B55" s="3" t="s">
        <v>203</v>
      </c>
      <c r="C55" s="4">
        <v>193593</v>
      </c>
      <c r="D55" s="1" t="s">
        <v>10</v>
      </c>
      <c r="E55" s="5">
        <v>43104</v>
      </c>
      <c r="F55" s="6">
        <v>43101.083333333336</v>
      </c>
      <c r="G55" s="1" t="s">
        <v>204</v>
      </c>
      <c r="H55" s="7" t="str">
        <f>HYPERLINK("https://my.zakupki.prom.ua/cabinet/purchases/state_plan/view/3592134")</f>
        <v>https://my.zakupki.prom.ua/cabinet/purchases/state_plan/view/3592134</v>
      </c>
    </row>
    <row r="56" spans="1:8" ht="38.25">
      <c r="A56" s="1" t="s">
        <v>199</v>
      </c>
      <c r="B56" s="3" t="s">
        <v>200</v>
      </c>
      <c r="C56" s="4">
        <v>120000</v>
      </c>
      <c r="D56" s="1" t="s">
        <v>10</v>
      </c>
      <c r="E56" s="5">
        <v>43104</v>
      </c>
      <c r="F56" s="6">
        <v>43101.083333333336</v>
      </c>
      <c r="G56" s="1" t="s">
        <v>201</v>
      </c>
      <c r="H56" s="7" t="str">
        <f>HYPERLINK("https://my.zakupki.prom.ua/cabinet/purchases/state_plan/view/3592146")</f>
        <v>https://my.zakupki.prom.ua/cabinet/purchases/state_plan/view/3592146</v>
      </c>
    </row>
    <row r="57" spans="1:8" ht="51">
      <c r="A57" s="1" t="s">
        <v>193</v>
      </c>
      <c r="B57" s="3" t="s">
        <v>194</v>
      </c>
      <c r="C57" s="4">
        <v>20000</v>
      </c>
      <c r="D57" s="1" t="s">
        <v>10</v>
      </c>
      <c r="E57" s="5">
        <v>43104</v>
      </c>
      <c r="F57" s="6">
        <v>43101.083333333336</v>
      </c>
      <c r="G57" s="1" t="s">
        <v>195</v>
      </c>
      <c r="H57" s="7" t="str">
        <f>HYPERLINK("https://my.zakupki.prom.ua/cabinet/purchases/state_plan/view/3592186")</f>
        <v>https://my.zakupki.prom.ua/cabinet/purchases/state_plan/view/3592186</v>
      </c>
    </row>
    <row r="58" spans="1:8" ht="25.5">
      <c r="A58" s="1" t="s">
        <v>196</v>
      </c>
      <c r="B58" s="3" t="s">
        <v>197</v>
      </c>
      <c r="C58" s="4">
        <v>44000</v>
      </c>
      <c r="D58" s="1" t="s">
        <v>10</v>
      </c>
      <c r="E58" s="5">
        <v>43104</v>
      </c>
      <c r="F58" s="6">
        <v>43101.083333333336</v>
      </c>
      <c r="G58" s="1" t="s">
        <v>198</v>
      </c>
      <c r="H58" s="7" t="str">
        <f>HYPERLINK("https://my.zakupki.prom.ua/cabinet/purchases/state_plan/view/3592151")</f>
        <v>https://my.zakupki.prom.ua/cabinet/purchases/state_plan/view/3592151</v>
      </c>
    </row>
    <row r="59" spans="1:8">
      <c r="A59" s="1" t="s">
        <v>15</v>
      </c>
      <c r="B59" s="3" t="s">
        <v>16</v>
      </c>
      <c r="C59" s="4">
        <v>2147</v>
      </c>
      <c r="D59" s="1" t="s">
        <v>10</v>
      </c>
      <c r="E59" s="5">
        <v>43389</v>
      </c>
      <c r="F59" s="6">
        <v>43374.125</v>
      </c>
      <c r="G59" s="1" t="s">
        <v>17</v>
      </c>
      <c r="H59" s="7" t="str">
        <f>HYPERLINK("https://my.zakupki.prom.ua/cabinet/purchases/state_plan/view/5833977")</f>
        <v>https://my.zakupki.prom.ua/cabinet/purchases/state_plan/view/5833977</v>
      </c>
    </row>
    <row r="60" spans="1:8" ht="25.5">
      <c r="A60" s="1" t="s">
        <v>275</v>
      </c>
      <c r="B60" s="3" t="s">
        <v>276</v>
      </c>
      <c r="C60" s="4">
        <v>400</v>
      </c>
      <c r="D60" s="1" t="s">
        <v>10</v>
      </c>
      <c r="E60" s="5">
        <v>43237</v>
      </c>
      <c r="F60" s="6">
        <v>43221.125</v>
      </c>
      <c r="G60" s="1" t="s">
        <v>277</v>
      </c>
      <c r="H60" s="7" t="str">
        <f>HYPERLINK("https://my.zakupki.prom.ua/cabinet/purchases/state_plan/view/4933700")</f>
        <v>https://my.zakupki.prom.ua/cabinet/purchases/state_plan/view/4933700</v>
      </c>
    </row>
    <row r="61" spans="1:8">
      <c r="A61" s="1" t="s">
        <v>314</v>
      </c>
      <c r="B61" s="3" t="s">
        <v>315</v>
      </c>
      <c r="C61" s="4">
        <v>60600</v>
      </c>
      <c r="D61" s="1" t="s">
        <v>10</v>
      </c>
      <c r="E61" s="5">
        <v>42790</v>
      </c>
      <c r="F61" s="6">
        <v>43132.083333333336</v>
      </c>
      <c r="G61" s="1" t="s">
        <v>316</v>
      </c>
      <c r="H61" s="7" t="str">
        <f>HYPERLINK("https://my.zakupki.prom.ua/cabinet/purchases/state_plan/view/1630867")</f>
        <v>https://my.zakupki.prom.ua/cabinet/purchases/state_plan/view/1630867</v>
      </c>
    </row>
    <row r="62" spans="1:8" ht="38.25">
      <c r="A62" s="1" t="s">
        <v>270</v>
      </c>
      <c r="B62" s="3" t="s">
        <v>271</v>
      </c>
      <c r="C62" s="4">
        <v>100000</v>
      </c>
      <c r="D62" s="1" t="s">
        <v>10</v>
      </c>
      <c r="E62" s="5">
        <v>43104</v>
      </c>
      <c r="F62" s="6">
        <v>43101.083333333336</v>
      </c>
      <c r="G62" s="1" t="s">
        <v>272</v>
      </c>
      <c r="H62" s="7" t="str">
        <f>HYPERLINK("https://my.zakupki.prom.ua/cabinet/purchases/state_plan/view/3587594")</f>
        <v>https://my.zakupki.prom.ua/cabinet/purchases/state_plan/view/3587594</v>
      </c>
    </row>
    <row r="63" spans="1:8" ht="25.5">
      <c r="A63" s="1" t="s">
        <v>54</v>
      </c>
      <c r="B63" s="3" t="s">
        <v>55</v>
      </c>
      <c r="C63" s="4">
        <v>1500</v>
      </c>
      <c r="D63" s="1" t="s">
        <v>10</v>
      </c>
      <c r="E63" s="5">
        <v>43300</v>
      </c>
      <c r="F63" s="6">
        <v>43282.125</v>
      </c>
      <c r="G63" s="1" t="s">
        <v>56</v>
      </c>
      <c r="H63" s="7" t="str">
        <f>HYPERLINK("https://my.zakupki.prom.ua/cabinet/purchases/state_plan/view/5328830")</f>
        <v>https://my.zakupki.prom.ua/cabinet/purchases/state_plan/view/5328830</v>
      </c>
    </row>
    <row r="64" spans="1:8" ht="25.5">
      <c r="A64" s="1" t="s">
        <v>268</v>
      </c>
      <c r="B64" s="3" t="s">
        <v>269</v>
      </c>
      <c r="C64" s="4">
        <v>2000</v>
      </c>
      <c r="D64" s="1" t="s">
        <v>10</v>
      </c>
      <c r="E64" s="5">
        <v>43104</v>
      </c>
      <c r="F64" s="6">
        <v>43101.083333333336</v>
      </c>
      <c r="G64" s="1" t="s">
        <v>56</v>
      </c>
      <c r="H64" s="7" t="str">
        <f>HYPERLINK("https://my.zakupki.prom.ua/cabinet/purchases/state_plan/view/3587617")</f>
        <v>https://my.zakupki.prom.ua/cabinet/purchases/state_plan/view/3587617</v>
      </c>
    </row>
    <row r="65" spans="1:8" ht="51">
      <c r="A65" s="1" t="s">
        <v>231</v>
      </c>
      <c r="B65" s="3" t="s">
        <v>232</v>
      </c>
      <c r="C65" s="4">
        <v>50107</v>
      </c>
      <c r="D65" s="1" t="s">
        <v>10</v>
      </c>
      <c r="E65" s="5">
        <v>43104</v>
      </c>
      <c r="F65" s="6">
        <v>43101.083333333336</v>
      </c>
      <c r="G65" s="1" t="s">
        <v>233</v>
      </c>
      <c r="H65" s="7" t="str">
        <f>HYPERLINK("https://my.zakupki.prom.ua/cabinet/purchases/state_plan/view/3591988")</f>
        <v>https://my.zakupki.prom.ua/cabinet/purchases/state_plan/view/3591988</v>
      </c>
    </row>
    <row r="66" spans="1:8" ht="25.5">
      <c r="A66" s="1" t="s">
        <v>228</v>
      </c>
      <c r="B66" s="3" t="s">
        <v>229</v>
      </c>
      <c r="C66" s="4">
        <v>36000</v>
      </c>
      <c r="D66" s="1" t="s">
        <v>10</v>
      </c>
      <c r="E66" s="5">
        <v>43104</v>
      </c>
      <c r="F66" s="6">
        <v>43101.083333333336</v>
      </c>
      <c r="G66" s="1" t="s">
        <v>230</v>
      </c>
      <c r="H66" s="7" t="str">
        <f>HYPERLINK("https://my.zakupki.prom.ua/cabinet/purchases/state_plan/view/3592001")</f>
        <v>https://my.zakupki.prom.ua/cabinet/purchases/state_plan/view/3592001</v>
      </c>
    </row>
    <row r="67" spans="1:8" ht="25.5">
      <c r="A67" s="1" t="s">
        <v>190</v>
      </c>
      <c r="B67" s="3" t="s">
        <v>191</v>
      </c>
      <c r="C67" s="4">
        <v>3000</v>
      </c>
      <c r="D67" s="1" t="s">
        <v>10</v>
      </c>
      <c r="E67" s="5">
        <v>43105</v>
      </c>
      <c r="F67" s="6">
        <v>43101.083333333336</v>
      </c>
      <c r="G67" s="1" t="s">
        <v>192</v>
      </c>
      <c r="H67" s="7" t="str">
        <f>HYPERLINK("https://my.zakupki.prom.ua/cabinet/purchases/state_plan/view/3594171")</f>
        <v>https://my.zakupki.prom.ua/cabinet/purchases/state_plan/view/3594171</v>
      </c>
    </row>
    <row r="68" spans="1:8" ht="25.5">
      <c r="A68" s="1" t="s">
        <v>326</v>
      </c>
      <c r="B68" s="3" t="s">
        <v>191</v>
      </c>
      <c r="C68" s="4">
        <v>5487.52</v>
      </c>
      <c r="D68" s="1" t="s">
        <v>10</v>
      </c>
      <c r="E68" s="5">
        <v>43182</v>
      </c>
      <c r="F68" s="6">
        <v>43435.083333333336</v>
      </c>
      <c r="G68" s="1" t="s">
        <v>192</v>
      </c>
      <c r="H68" s="7" t="str">
        <f>HYPERLINK("https://my.zakupki.prom.ua/cabinet/purchases/state_plan/view/4590254")</f>
        <v>https://my.zakupki.prom.ua/cabinet/purchases/state_plan/view/4590254</v>
      </c>
    </row>
    <row r="69" spans="1:8" ht="25.5">
      <c r="A69" s="1" t="s">
        <v>309</v>
      </c>
      <c r="B69" s="3" t="s">
        <v>310</v>
      </c>
      <c r="C69" s="4">
        <v>7280</v>
      </c>
      <c r="D69" s="1" t="s">
        <v>10</v>
      </c>
      <c r="E69" s="5">
        <v>43215</v>
      </c>
      <c r="F69" s="6">
        <v>43191.125</v>
      </c>
      <c r="G69" s="1" t="s">
        <v>311</v>
      </c>
      <c r="H69" s="7" t="str">
        <f>HYPERLINK("https://my.zakupki.prom.ua/cabinet/purchases/state_plan/view/4800487")</f>
        <v>https://my.zakupki.prom.ua/cabinet/purchases/state_plan/view/4800487</v>
      </c>
    </row>
    <row r="70" spans="1:8">
      <c r="A70" s="1" t="s">
        <v>12</v>
      </c>
      <c r="B70" s="3" t="s">
        <v>13</v>
      </c>
      <c r="C70" s="4">
        <v>4482</v>
      </c>
      <c r="D70" s="1" t="s">
        <v>10</v>
      </c>
      <c r="E70" s="5">
        <v>43445</v>
      </c>
      <c r="F70" s="6">
        <v>43435.083333333336</v>
      </c>
      <c r="G70" s="1" t="s">
        <v>14</v>
      </c>
      <c r="H70" s="7" t="str">
        <f>HYPERLINK("https://my.zakupki.prom.ua/cabinet/purchases/state_plan/view/6302173")</f>
        <v>https://my.zakupki.prom.ua/cabinet/purchases/state_plan/view/6302173</v>
      </c>
    </row>
    <row r="71" spans="1:8" ht="25.5">
      <c r="A71" s="1" t="s">
        <v>141</v>
      </c>
      <c r="B71" s="3" t="s">
        <v>142</v>
      </c>
      <c r="C71" s="4">
        <v>5000</v>
      </c>
      <c r="D71" s="1" t="s">
        <v>10</v>
      </c>
      <c r="E71" s="5">
        <v>43105</v>
      </c>
      <c r="F71" s="6">
        <v>43101.083333333336</v>
      </c>
      <c r="G71" s="1" t="s">
        <v>143</v>
      </c>
      <c r="H71" s="7" t="str">
        <f>HYPERLINK("https://my.zakupki.prom.ua/cabinet/purchases/state_plan/view/3592189")</f>
        <v>https://my.zakupki.prom.ua/cabinet/purchases/state_plan/view/3592189</v>
      </c>
    </row>
    <row r="72" spans="1:8" ht="25.5">
      <c r="A72" s="1" t="s">
        <v>261</v>
      </c>
      <c r="B72" s="3" t="s">
        <v>262</v>
      </c>
      <c r="C72" s="4">
        <v>30000</v>
      </c>
      <c r="D72" s="1" t="s">
        <v>10</v>
      </c>
      <c r="E72" s="5">
        <v>43104</v>
      </c>
      <c r="F72" s="6">
        <v>43101.083333333336</v>
      </c>
      <c r="G72" s="1" t="s">
        <v>263</v>
      </c>
      <c r="H72" s="7" t="str">
        <f>HYPERLINK("https://my.zakupki.prom.ua/cabinet/purchases/state_plan/view/3588475")</f>
        <v>https://my.zakupki.prom.ua/cabinet/purchases/state_plan/view/3588475</v>
      </c>
    </row>
    <row r="73" spans="1:8" ht="25.5">
      <c r="A73" s="1" t="s">
        <v>33</v>
      </c>
      <c r="B73" s="3" t="s">
        <v>34</v>
      </c>
      <c r="C73" s="4">
        <v>10947.67</v>
      </c>
      <c r="D73" s="1" t="s">
        <v>10</v>
      </c>
      <c r="E73" s="5">
        <v>43329</v>
      </c>
      <c r="F73" s="6">
        <v>43313.125</v>
      </c>
      <c r="G73" s="1" t="s">
        <v>35</v>
      </c>
      <c r="H73" s="7" t="str">
        <f>HYPERLINK("https://my.zakupki.prom.ua/cabinet/purchases/state_plan/view/5492605")</f>
        <v>https://my.zakupki.prom.ua/cabinet/purchases/state_plan/view/5492605</v>
      </c>
    </row>
    <row r="74" spans="1:8" ht="25.5">
      <c r="A74" s="1" t="s">
        <v>286</v>
      </c>
      <c r="B74" s="3" t="s">
        <v>287</v>
      </c>
      <c r="C74" s="4">
        <v>2000</v>
      </c>
      <c r="D74" s="1" t="s">
        <v>10</v>
      </c>
      <c r="E74" s="5">
        <v>43125</v>
      </c>
      <c r="F74" s="6">
        <v>43101.083333333336</v>
      </c>
      <c r="G74" s="1" t="s">
        <v>35</v>
      </c>
      <c r="H74" s="7" t="str">
        <f>HYPERLINK("https://my.zakupki.prom.ua/cabinet/purchases/state_plan/view/3952449")</f>
        <v>https://my.zakupki.prom.ua/cabinet/purchases/state_plan/view/3952449</v>
      </c>
    </row>
    <row r="75" spans="1:8" ht="25.5">
      <c r="A75" s="1" t="s">
        <v>288</v>
      </c>
      <c r="B75" s="3" t="s">
        <v>287</v>
      </c>
      <c r="C75" s="4">
        <v>4000</v>
      </c>
      <c r="D75" s="1" t="s">
        <v>10</v>
      </c>
      <c r="E75" s="5">
        <v>43147</v>
      </c>
      <c r="F75" s="6">
        <v>43132.083333333336</v>
      </c>
      <c r="G75" s="1" t="s">
        <v>35</v>
      </c>
      <c r="H75" s="7" t="str">
        <f>HYPERLINK("https://my.zakupki.prom.ua/cabinet/purchases/state_plan/view/4305784")</f>
        <v>https://my.zakupki.prom.ua/cabinet/purchases/state_plan/view/4305784</v>
      </c>
    </row>
    <row r="76" spans="1:8" ht="25.5">
      <c r="A76" s="1" t="s">
        <v>292</v>
      </c>
      <c r="B76" s="3" t="s">
        <v>287</v>
      </c>
      <c r="C76" s="4">
        <v>5000</v>
      </c>
      <c r="D76" s="1" t="s">
        <v>10</v>
      </c>
      <c r="E76" s="5">
        <v>43159</v>
      </c>
      <c r="F76" s="6">
        <v>43132.083333333336</v>
      </c>
      <c r="G76" s="1" t="s">
        <v>35</v>
      </c>
      <c r="H76" s="7" t="str">
        <f>HYPERLINK("https://my.zakupki.prom.ua/cabinet/purchases/state_plan/view/4413055")</f>
        <v>https://my.zakupki.prom.ua/cabinet/purchases/state_plan/view/4413055</v>
      </c>
    </row>
    <row r="77" spans="1:8" ht="25.5">
      <c r="A77" s="1" t="s">
        <v>357</v>
      </c>
      <c r="B77" s="3" t="s">
        <v>287</v>
      </c>
      <c r="C77" s="4">
        <v>2000</v>
      </c>
      <c r="D77" s="1" t="s">
        <v>10</v>
      </c>
      <c r="E77" s="5">
        <v>43137</v>
      </c>
      <c r="F77" s="6">
        <v>43132.083333333336</v>
      </c>
      <c r="G77" s="1" t="s">
        <v>35</v>
      </c>
      <c r="H77" s="7" t="str">
        <f>HYPERLINK("https://my.zakupki.prom.ua/cabinet/purchases/state_plan/view/4155019")</f>
        <v>https://my.zakupki.prom.ua/cabinet/purchases/state_plan/view/4155019</v>
      </c>
    </row>
    <row r="78" spans="1:8" ht="25.5">
      <c r="A78" s="1" t="s">
        <v>350</v>
      </c>
      <c r="B78" s="3" t="s">
        <v>351</v>
      </c>
      <c r="C78" s="4">
        <v>20000</v>
      </c>
      <c r="D78" s="1" t="s">
        <v>10</v>
      </c>
      <c r="E78" s="5">
        <v>43144</v>
      </c>
      <c r="F78" s="6">
        <v>43132.083333333336</v>
      </c>
      <c r="G78" s="1" t="s">
        <v>352</v>
      </c>
      <c r="H78" s="7" t="str">
        <f>HYPERLINK("https://my.zakupki.prom.ua/cabinet/purchases/state_plan/view/4266388")</f>
        <v>https://my.zakupki.prom.ua/cabinet/purchases/state_plan/view/4266388</v>
      </c>
    </row>
    <row r="79" spans="1:8" ht="25.5">
      <c r="A79" s="1" t="s">
        <v>321</v>
      </c>
      <c r="B79" s="3" t="s">
        <v>322</v>
      </c>
      <c r="C79" s="4">
        <v>7000</v>
      </c>
      <c r="D79" s="1" t="s">
        <v>10</v>
      </c>
      <c r="E79" s="5">
        <v>43166</v>
      </c>
      <c r="F79" s="6">
        <v>43160.083333333336</v>
      </c>
      <c r="G79" s="1" t="s">
        <v>323</v>
      </c>
      <c r="H79" s="7" t="str">
        <f>HYPERLINK("https://my.zakupki.prom.ua/cabinet/purchases/state_plan/view/4471449")</f>
        <v>https://my.zakupki.prom.ua/cabinet/purchases/state_plan/view/4471449</v>
      </c>
    </row>
    <row r="80" spans="1:8" ht="38.25">
      <c r="A80" s="1" t="s">
        <v>150</v>
      </c>
      <c r="B80" s="3" t="s">
        <v>151</v>
      </c>
      <c r="C80" s="4">
        <v>199000</v>
      </c>
      <c r="D80" s="1" t="s">
        <v>10</v>
      </c>
      <c r="E80" s="5">
        <v>43105</v>
      </c>
      <c r="F80" s="6">
        <v>43101.083333333336</v>
      </c>
      <c r="G80" s="1" t="s">
        <v>152</v>
      </c>
      <c r="H80" s="7" t="str">
        <f>HYPERLINK("https://my.zakupki.prom.ua/cabinet/purchases/state_plan/view/3594857")</f>
        <v>https://my.zakupki.prom.ua/cabinet/purchases/state_plan/view/3594857</v>
      </c>
    </row>
    <row r="81" spans="1:8" ht="38.25">
      <c r="A81" s="1" t="s">
        <v>153</v>
      </c>
      <c r="B81" s="3" t="s">
        <v>154</v>
      </c>
      <c r="C81" s="4">
        <v>50000</v>
      </c>
      <c r="D81" s="1" t="s">
        <v>10</v>
      </c>
      <c r="E81" s="5">
        <v>43105</v>
      </c>
      <c r="F81" s="6">
        <v>43101.083333333336</v>
      </c>
      <c r="G81" s="1" t="s">
        <v>155</v>
      </c>
      <c r="H81" s="7" t="str">
        <f>HYPERLINK("https://my.zakupki.prom.ua/cabinet/purchases/state_plan/view/3594847")</f>
        <v>https://my.zakupki.prom.ua/cabinet/purchases/state_plan/view/3594847</v>
      </c>
    </row>
    <row r="82" spans="1:8" ht="25.5">
      <c r="A82" s="1" t="s">
        <v>215</v>
      </c>
      <c r="B82" s="3" t="s">
        <v>216</v>
      </c>
      <c r="C82" s="4">
        <v>55000</v>
      </c>
      <c r="D82" s="1" t="s">
        <v>10</v>
      </c>
      <c r="E82" s="5">
        <v>43104</v>
      </c>
      <c r="F82" s="6">
        <v>43101.083333333336</v>
      </c>
      <c r="G82" s="1" t="s">
        <v>217</v>
      </c>
      <c r="H82" s="7" t="str">
        <f>HYPERLINK("https://my.zakupki.prom.ua/cabinet/purchases/state_plan/view/3592081")</f>
        <v>https://my.zakupki.prom.ua/cabinet/purchases/state_plan/view/3592081</v>
      </c>
    </row>
    <row r="83" spans="1:8" ht="25.5">
      <c r="A83" s="1" t="s">
        <v>258</v>
      </c>
      <c r="B83" s="3" t="s">
        <v>259</v>
      </c>
      <c r="C83" s="4">
        <v>199000</v>
      </c>
      <c r="D83" s="1" t="s">
        <v>10</v>
      </c>
      <c r="E83" s="5">
        <v>43104</v>
      </c>
      <c r="F83" s="6">
        <v>43101.083333333336</v>
      </c>
      <c r="G83" s="1" t="s">
        <v>260</v>
      </c>
      <c r="H83" s="7" t="str">
        <f>HYPERLINK("https://my.zakupki.prom.ua/cabinet/purchases/state_plan/view/3588673")</f>
        <v>https://my.zakupki.prom.ua/cabinet/purchases/state_plan/view/3588673</v>
      </c>
    </row>
    <row r="84" spans="1:8" ht="38.25">
      <c r="A84" s="1" t="s">
        <v>24</v>
      </c>
      <c r="B84" s="3" t="s">
        <v>25</v>
      </c>
      <c r="C84" s="4">
        <v>20000</v>
      </c>
      <c r="D84" s="1" t="s">
        <v>10</v>
      </c>
      <c r="E84" s="5">
        <v>43353</v>
      </c>
      <c r="F84" s="6">
        <v>43344.125</v>
      </c>
      <c r="G84" s="1" t="s">
        <v>26</v>
      </c>
      <c r="H84" s="7" t="str">
        <f>HYPERLINK("https://my.zakupki.prom.ua/cabinet/purchases/state_plan/view/5610971")</f>
        <v>https://my.zakupki.prom.ua/cabinet/purchases/state_plan/view/5610971</v>
      </c>
    </row>
    <row r="85" spans="1:8" ht="38.25">
      <c r="A85" s="1" t="s">
        <v>67</v>
      </c>
      <c r="B85" s="3" t="s">
        <v>68</v>
      </c>
      <c r="C85" s="4">
        <v>50000</v>
      </c>
      <c r="D85" s="1" t="s">
        <v>10</v>
      </c>
      <c r="E85" s="5">
        <v>43284</v>
      </c>
      <c r="F85" s="6">
        <v>43282.125</v>
      </c>
      <c r="G85" s="1" t="s">
        <v>26</v>
      </c>
      <c r="H85" s="7" t="str">
        <f>HYPERLINK("https://my.zakupki.prom.ua/cabinet/purchases/state_plan/view/5225066")</f>
        <v>https://my.zakupki.prom.ua/cabinet/purchases/state_plan/view/5225066</v>
      </c>
    </row>
    <row r="86" spans="1:8" ht="38.25">
      <c r="A86" s="1" t="s">
        <v>267</v>
      </c>
      <c r="B86" s="3" t="s">
        <v>68</v>
      </c>
      <c r="C86" s="4">
        <v>50000</v>
      </c>
      <c r="D86" s="1" t="s">
        <v>10</v>
      </c>
      <c r="E86" s="5">
        <v>43104</v>
      </c>
      <c r="F86" s="6">
        <v>43101.083333333336</v>
      </c>
      <c r="G86" s="1" t="s">
        <v>26</v>
      </c>
      <c r="H86" s="7" t="str">
        <f>HYPERLINK("https://my.zakupki.prom.ua/cabinet/purchases/state_plan/view/3587882")</f>
        <v>https://my.zakupki.prom.ua/cabinet/purchases/state_plan/view/3587882</v>
      </c>
    </row>
    <row r="87" spans="1:8" ht="38.25">
      <c r="A87" s="1" t="s">
        <v>334</v>
      </c>
      <c r="B87" s="3" t="s">
        <v>68</v>
      </c>
      <c r="C87" s="4">
        <v>50000</v>
      </c>
      <c r="D87" s="1" t="s">
        <v>10</v>
      </c>
      <c r="E87" s="5">
        <v>43130</v>
      </c>
      <c r="F87" s="6">
        <v>43101.083333333336</v>
      </c>
      <c r="G87" s="1" t="s">
        <v>26</v>
      </c>
      <c r="H87" s="7" t="str">
        <f>HYPERLINK("https://my.zakupki.prom.ua/cabinet/purchases/state_plan/view/4048865")</f>
        <v>https://my.zakupki.prom.ua/cabinet/purchases/state_plan/view/4048865</v>
      </c>
    </row>
    <row r="88" spans="1:8" ht="38.25">
      <c r="A88" s="1" t="s">
        <v>187</v>
      </c>
      <c r="B88" s="3" t="s">
        <v>188</v>
      </c>
      <c r="C88" s="4">
        <v>30000</v>
      </c>
      <c r="D88" s="1" t="s">
        <v>10</v>
      </c>
      <c r="E88" s="5">
        <v>43105</v>
      </c>
      <c r="F88" s="6">
        <v>43101.083333333336</v>
      </c>
      <c r="G88" s="1" t="s">
        <v>189</v>
      </c>
      <c r="H88" s="7" t="str">
        <f>HYPERLINK("https://my.zakupki.prom.ua/cabinet/purchases/state_plan/view/3594254")</f>
        <v>https://my.zakupki.prom.ua/cabinet/purchases/state_plan/view/3594254</v>
      </c>
    </row>
    <row r="89" spans="1:8" ht="25.5">
      <c r="A89" s="1" t="s">
        <v>331</v>
      </c>
      <c r="B89" s="3" t="s">
        <v>332</v>
      </c>
      <c r="C89" s="4">
        <v>23330</v>
      </c>
      <c r="D89" s="1" t="s">
        <v>10</v>
      </c>
      <c r="E89" s="5">
        <v>43144</v>
      </c>
      <c r="F89" s="6">
        <v>43132.083333333336</v>
      </c>
      <c r="G89" s="1" t="s">
        <v>333</v>
      </c>
      <c r="H89" s="7" t="str">
        <f>HYPERLINK("https://my.zakupki.prom.ua/cabinet/purchases/state_plan/view/4266381")</f>
        <v>https://my.zakupki.prom.ua/cabinet/purchases/state_plan/view/4266381</v>
      </c>
    </row>
    <row r="90" spans="1:8" ht="25.5">
      <c r="A90" s="1" t="s">
        <v>63</v>
      </c>
      <c r="B90" s="3" t="s">
        <v>64</v>
      </c>
      <c r="C90" s="4">
        <v>50000</v>
      </c>
      <c r="D90" s="1" t="s">
        <v>10</v>
      </c>
      <c r="E90" s="5">
        <v>43287</v>
      </c>
      <c r="F90" s="6">
        <v>43282.125</v>
      </c>
      <c r="G90" s="1" t="s">
        <v>65</v>
      </c>
      <c r="H90" s="7" t="str">
        <f>HYPERLINK("https://my.zakupki.prom.ua/cabinet/purchases/state_plan/view/5254013")</f>
        <v>https://my.zakupki.prom.ua/cabinet/purchases/state_plan/view/5254013</v>
      </c>
    </row>
    <row r="91" spans="1:8" ht="25.5">
      <c r="A91" s="1" t="s">
        <v>66</v>
      </c>
      <c r="B91" s="3" t="s">
        <v>64</v>
      </c>
      <c r="C91" s="4">
        <v>20000</v>
      </c>
      <c r="D91" s="1" t="s">
        <v>10</v>
      </c>
      <c r="E91" s="5">
        <v>43284</v>
      </c>
      <c r="F91" s="6">
        <v>43282.125</v>
      </c>
      <c r="G91" s="1" t="s">
        <v>65</v>
      </c>
      <c r="H91" s="7" t="str">
        <f>HYPERLINK("https://my.zakupki.prom.ua/cabinet/purchases/state_plan/view/5227540")</f>
        <v>https://my.zakupki.prom.ua/cabinet/purchases/state_plan/view/5227540</v>
      </c>
    </row>
    <row r="92" spans="1:8" ht="25.5">
      <c r="A92" s="1" t="s">
        <v>299</v>
      </c>
      <c r="B92" s="3" t="s">
        <v>300</v>
      </c>
      <c r="C92" s="4">
        <v>48728</v>
      </c>
      <c r="D92" s="1" t="s">
        <v>10</v>
      </c>
      <c r="E92" s="5">
        <v>43138</v>
      </c>
      <c r="F92" s="6">
        <v>43132.083333333336</v>
      </c>
      <c r="G92" s="1" t="s">
        <v>65</v>
      </c>
      <c r="H92" s="7" t="str">
        <f>HYPERLINK("https://my.zakupki.prom.ua/cabinet/purchases/state_plan/view/4189839")</f>
        <v>https://my.zakupki.prom.ua/cabinet/purchases/state_plan/view/4189839</v>
      </c>
    </row>
    <row r="93" spans="1:8" ht="25.5">
      <c r="A93" s="1" t="s">
        <v>320</v>
      </c>
      <c r="B93" s="3" t="s">
        <v>64</v>
      </c>
      <c r="C93" s="4">
        <v>67830</v>
      </c>
      <c r="D93" s="1" t="s">
        <v>10</v>
      </c>
      <c r="E93" s="5">
        <v>43125</v>
      </c>
      <c r="F93" s="6">
        <v>43101.083333333336</v>
      </c>
      <c r="G93" s="1" t="s">
        <v>65</v>
      </c>
      <c r="H93" s="7" t="str">
        <f>HYPERLINK("https://my.zakupki.prom.ua/cabinet/purchases/state_plan/view/3951181")</f>
        <v>https://my.zakupki.prom.ua/cabinet/purchases/state_plan/view/3951181</v>
      </c>
    </row>
    <row r="94" spans="1:8" ht="25.5">
      <c r="A94" s="1" t="s">
        <v>72</v>
      </c>
      <c r="B94" s="3" t="s">
        <v>73</v>
      </c>
      <c r="C94" s="4">
        <v>17000</v>
      </c>
      <c r="D94" s="1" t="s">
        <v>10</v>
      </c>
      <c r="E94" s="5">
        <v>43273</v>
      </c>
      <c r="F94" s="6">
        <v>43252.125</v>
      </c>
      <c r="G94" s="1" t="s">
        <v>74</v>
      </c>
      <c r="H94" s="7" t="str">
        <f>HYPERLINK("https://my.zakupki.prom.ua/cabinet/purchases/state_plan/view/5184605")</f>
        <v>https://my.zakupki.prom.ua/cabinet/purchases/state_plan/view/5184605</v>
      </c>
    </row>
    <row r="95" spans="1:8" ht="25.5">
      <c r="A95" s="1" t="s">
        <v>174</v>
      </c>
      <c r="B95" s="3" t="s">
        <v>73</v>
      </c>
      <c r="C95" s="4">
        <v>30000</v>
      </c>
      <c r="D95" s="1" t="s">
        <v>10</v>
      </c>
      <c r="E95" s="5">
        <v>43105</v>
      </c>
      <c r="F95" s="6">
        <v>43101.083333333336</v>
      </c>
      <c r="G95" s="1" t="s">
        <v>74</v>
      </c>
      <c r="H95" s="7" t="str">
        <f>HYPERLINK("https://my.zakupki.prom.ua/cabinet/purchases/state_plan/view/3594450")</f>
        <v>https://my.zakupki.prom.ua/cabinet/purchases/state_plan/view/3594450</v>
      </c>
    </row>
    <row r="96" spans="1:8" ht="25.5">
      <c r="A96" s="1" t="s">
        <v>221</v>
      </c>
      <c r="B96" s="3" t="s">
        <v>222</v>
      </c>
      <c r="C96" s="4">
        <v>20000</v>
      </c>
      <c r="D96" s="1" t="s">
        <v>10</v>
      </c>
      <c r="E96" s="5">
        <v>43104</v>
      </c>
      <c r="F96" s="6">
        <v>43101.083333333336</v>
      </c>
      <c r="G96" s="1" t="s">
        <v>223</v>
      </c>
      <c r="H96" s="7" t="str">
        <f>HYPERLINK("https://my.zakupki.prom.ua/cabinet/purchases/state_plan/view/3592072")</f>
        <v>https://my.zakupki.prom.ua/cabinet/purchases/state_plan/view/3592072</v>
      </c>
    </row>
    <row r="97" spans="1:8" ht="25.5">
      <c r="A97" s="1" t="s">
        <v>246</v>
      </c>
      <c r="B97" s="3" t="s">
        <v>247</v>
      </c>
      <c r="C97" s="4">
        <v>10000</v>
      </c>
      <c r="D97" s="1" t="s">
        <v>10</v>
      </c>
      <c r="E97" s="5">
        <v>43104</v>
      </c>
      <c r="F97" s="6">
        <v>43101.083333333336</v>
      </c>
      <c r="G97" s="1" t="s">
        <v>248</v>
      </c>
      <c r="H97" s="7" t="str">
        <f>HYPERLINK("https://my.zakupki.prom.ua/cabinet/purchases/state_plan/view/3591881")</f>
        <v>https://my.zakupki.prom.ua/cabinet/purchases/state_plan/view/3591881</v>
      </c>
    </row>
    <row r="98" spans="1:8" ht="25.5">
      <c r="A98" s="1" t="s">
        <v>293</v>
      </c>
      <c r="B98" s="3" t="s">
        <v>294</v>
      </c>
      <c r="C98" s="4">
        <v>458</v>
      </c>
      <c r="D98" s="1" t="s">
        <v>10</v>
      </c>
      <c r="E98" s="5">
        <v>43193</v>
      </c>
      <c r="F98" s="6">
        <v>43191.125</v>
      </c>
      <c r="G98" s="1" t="s">
        <v>295</v>
      </c>
      <c r="H98" s="7" t="str">
        <f>HYPERLINK("https://my.zakupki.prom.ua/cabinet/purchases/state_plan/view/4660889")</f>
        <v>https://my.zakupki.prom.ua/cabinet/purchases/state_plan/view/4660889</v>
      </c>
    </row>
    <row r="99" spans="1:8" ht="38.25">
      <c r="A99" s="1" t="s">
        <v>324</v>
      </c>
      <c r="B99" s="3" t="s">
        <v>325</v>
      </c>
      <c r="C99" s="4">
        <v>10965</v>
      </c>
      <c r="D99" s="1" t="s">
        <v>10</v>
      </c>
      <c r="E99" s="5">
        <v>43182</v>
      </c>
      <c r="F99" s="6">
        <v>43160.083333333336</v>
      </c>
      <c r="G99" s="1" t="s">
        <v>295</v>
      </c>
      <c r="H99" s="7" t="str">
        <f>HYPERLINK("https://my.zakupki.prom.ua/cabinet/purchases/state_plan/view/4590245")</f>
        <v>https://my.zakupki.prom.ua/cabinet/purchases/state_plan/view/4590245</v>
      </c>
    </row>
    <row r="100" spans="1:8" ht="25.5">
      <c r="A100" s="1" t="s">
        <v>304</v>
      </c>
      <c r="B100" s="3" t="s">
        <v>305</v>
      </c>
      <c r="C100" s="4">
        <v>11721</v>
      </c>
      <c r="D100" s="1" t="s">
        <v>10</v>
      </c>
      <c r="E100" s="5">
        <v>43133</v>
      </c>
      <c r="F100" s="6">
        <v>43132.083333333336</v>
      </c>
      <c r="G100" s="1" t="s">
        <v>306</v>
      </c>
      <c r="H100" s="7" t="str">
        <f>HYPERLINK("https://my.zakupki.prom.ua/cabinet/purchases/state_plan/view/4129639")</f>
        <v>https://my.zakupki.prom.ua/cabinet/purchases/state_plan/view/4129639</v>
      </c>
    </row>
    <row r="101" spans="1:8" ht="25.5">
      <c r="A101" s="1" t="s">
        <v>289</v>
      </c>
      <c r="B101" s="3" t="s">
        <v>290</v>
      </c>
      <c r="C101" s="4">
        <v>8250</v>
      </c>
      <c r="D101" s="1" t="s">
        <v>10</v>
      </c>
      <c r="E101" s="5">
        <v>43172</v>
      </c>
      <c r="F101" s="6">
        <v>43160.083333333336</v>
      </c>
      <c r="G101" s="1" t="s">
        <v>291</v>
      </c>
      <c r="H101" s="7" t="str">
        <f>HYPERLINK("https://my.zakupki.prom.ua/cabinet/purchases/state_plan/view/4487793")</f>
        <v>https://my.zakupki.prom.ua/cabinet/purchases/state_plan/view/4487793</v>
      </c>
    </row>
    <row r="102" spans="1:8">
      <c r="A102" s="1" t="s">
        <v>171</v>
      </c>
      <c r="B102" s="3" t="s">
        <v>172</v>
      </c>
      <c r="C102" s="4">
        <v>25000</v>
      </c>
      <c r="D102" s="1" t="s">
        <v>10</v>
      </c>
      <c r="E102" s="5">
        <v>43105</v>
      </c>
      <c r="F102" s="6">
        <v>43101.083333333336</v>
      </c>
      <c r="G102" s="1" t="s">
        <v>173</v>
      </c>
      <c r="H102" s="7" t="str">
        <f>HYPERLINK("https://my.zakupki.prom.ua/cabinet/purchases/state_plan/view/3594457")</f>
        <v>https://my.zakupki.prom.ua/cabinet/purchases/state_plan/view/3594457</v>
      </c>
    </row>
    <row r="103" spans="1:8" ht="25.5">
      <c r="A103" s="1" t="s">
        <v>168</v>
      </c>
      <c r="B103" s="3" t="s">
        <v>169</v>
      </c>
      <c r="C103" s="4">
        <v>7162.25</v>
      </c>
      <c r="D103" s="1" t="s">
        <v>10</v>
      </c>
      <c r="E103" s="5">
        <v>43105</v>
      </c>
      <c r="F103" s="6">
        <v>43101.083333333336</v>
      </c>
      <c r="G103" s="1" t="s">
        <v>170</v>
      </c>
      <c r="H103" s="7" t="str">
        <f>HYPERLINK("https://my.zakupki.prom.ua/cabinet/purchases/state_plan/view/3594468")</f>
        <v>https://my.zakupki.prom.ua/cabinet/purchases/state_plan/view/3594468</v>
      </c>
    </row>
    <row r="104" spans="1:8" ht="25.5">
      <c r="A104" s="1" t="s">
        <v>218</v>
      </c>
      <c r="B104" s="3" t="s">
        <v>219</v>
      </c>
      <c r="C104" s="4">
        <v>74500</v>
      </c>
      <c r="D104" s="1" t="s">
        <v>10</v>
      </c>
      <c r="E104" s="5">
        <v>43104</v>
      </c>
      <c r="F104" s="6">
        <v>43101.083333333336</v>
      </c>
      <c r="G104" s="1" t="s">
        <v>220</v>
      </c>
      <c r="H104" s="7" t="str">
        <f>HYPERLINK("https://my.zakupki.prom.ua/cabinet/purchases/state_plan/view/3592079")</f>
        <v>https://my.zakupki.prom.ua/cabinet/purchases/state_plan/view/3592079</v>
      </c>
    </row>
    <row r="105" spans="1:8" ht="38.25">
      <c r="A105" s="1" t="s">
        <v>264</v>
      </c>
      <c r="B105" s="3" t="s">
        <v>265</v>
      </c>
      <c r="C105" s="4">
        <v>70000</v>
      </c>
      <c r="D105" s="1" t="s">
        <v>10</v>
      </c>
      <c r="E105" s="5">
        <v>43104</v>
      </c>
      <c r="F105" s="6">
        <v>43101.083333333336</v>
      </c>
      <c r="G105" s="1" t="s">
        <v>266</v>
      </c>
      <c r="H105" s="7" t="str">
        <f>HYPERLINK("https://my.zakupki.prom.ua/cabinet/purchases/state_plan/view/3588436")</f>
        <v>https://my.zakupki.prom.ua/cabinet/purchases/state_plan/view/3588436</v>
      </c>
    </row>
    <row r="106" spans="1:8">
      <c r="A106" s="1" t="s">
        <v>69</v>
      </c>
      <c r="B106" s="3" t="s">
        <v>70</v>
      </c>
      <c r="C106" s="4">
        <v>20370</v>
      </c>
      <c r="D106" s="1" t="s">
        <v>10</v>
      </c>
      <c r="E106" s="5">
        <v>43276</v>
      </c>
      <c r="F106" s="6">
        <v>43252.125</v>
      </c>
      <c r="G106" s="1" t="s">
        <v>71</v>
      </c>
      <c r="H106" s="7" t="str">
        <f>HYPERLINK("https://my.zakupki.prom.ua/cabinet/purchases/state_plan/view/5191214")</f>
        <v>https://my.zakupki.prom.ua/cabinet/purchases/state_plan/view/5191214</v>
      </c>
    </row>
    <row r="107" spans="1:8">
      <c r="A107" s="1" t="s">
        <v>344</v>
      </c>
      <c r="B107" s="3" t="s">
        <v>345</v>
      </c>
      <c r="C107" s="4">
        <v>2000</v>
      </c>
      <c r="D107" s="1" t="s">
        <v>10</v>
      </c>
      <c r="E107" s="5">
        <v>43193</v>
      </c>
      <c r="F107" s="6">
        <v>43191.125</v>
      </c>
      <c r="G107" s="1" t="s">
        <v>346</v>
      </c>
      <c r="H107" s="7" t="str">
        <f>HYPERLINK("https://my.zakupki.prom.ua/cabinet/purchases/state_plan/view/4660791")</f>
        <v>https://my.zakupki.prom.ua/cabinet/purchases/state_plan/view/4660791</v>
      </c>
    </row>
    <row r="108" spans="1:8" ht="25.5">
      <c r="A108" s="1" t="s">
        <v>165</v>
      </c>
      <c r="B108" s="3" t="s">
        <v>166</v>
      </c>
      <c r="C108" s="4">
        <v>45000</v>
      </c>
      <c r="D108" s="1" t="s">
        <v>10</v>
      </c>
      <c r="E108" s="5">
        <v>43105</v>
      </c>
      <c r="F108" s="6">
        <v>43101.083333333336</v>
      </c>
      <c r="G108" s="1" t="s">
        <v>167</v>
      </c>
      <c r="H108" s="7" t="str">
        <f>HYPERLINK("https://my.zakupki.prom.ua/cabinet/purchases/state_plan/view/3594473")</f>
        <v>https://my.zakupki.prom.ua/cabinet/purchases/state_plan/view/3594473</v>
      </c>
    </row>
    <row r="109" spans="1:8" ht="25.5">
      <c r="A109" s="1" t="s">
        <v>159</v>
      </c>
      <c r="B109" s="3" t="s">
        <v>160</v>
      </c>
      <c r="C109" s="4">
        <v>10000</v>
      </c>
      <c r="D109" s="1" t="s">
        <v>10</v>
      </c>
      <c r="E109" s="5">
        <v>43105</v>
      </c>
      <c r="F109" s="6">
        <v>43101.083333333336</v>
      </c>
      <c r="G109" s="1" t="s">
        <v>161</v>
      </c>
      <c r="H109" s="7" t="str">
        <f>HYPERLINK("https://my.zakupki.prom.ua/cabinet/purchases/state_plan/view/3594721")</f>
        <v>https://my.zakupki.prom.ua/cabinet/purchases/state_plan/view/3594721</v>
      </c>
    </row>
    <row r="110" spans="1:8" ht="25.5">
      <c r="A110" s="1" t="s">
        <v>115</v>
      </c>
      <c r="B110" s="3" t="s">
        <v>116</v>
      </c>
      <c r="C110" s="4">
        <v>24000</v>
      </c>
      <c r="D110" s="1" t="s">
        <v>10</v>
      </c>
      <c r="E110" s="5">
        <v>43105</v>
      </c>
      <c r="F110" s="6">
        <v>43101.083333333336</v>
      </c>
      <c r="G110" s="1" t="s">
        <v>117</v>
      </c>
      <c r="H110" s="7" t="str">
        <f>HYPERLINK("https://my.zakupki.prom.ua/cabinet/purchases/state_plan/view/3600996")</f>
        <v>https://my.zakupki.prom.ua/cabinet/purchases/state_plan/view/3600996</v>
      </c>
    </row>
    <row r="111" spans="1:8">
      <c r="A111" s="1" t="s">
        <v>95</v>
      </c>
      <c r="B111" s="3" t="s">
        <v>96</v>
      </c>
      <c r="C111" s="4">
        <v>175000</v>
      </c>
      <c r="D111" s="1" t="s">
        <v>10</v>
      </c>
      <c r="E111" s="5">
        <v>43119</v>
      </c>
      <c r="F111" s="6">
        <v>43101.083333333336</v>
      </c>
      <c r="G111" s="1" t="s">
        <v>96</v>
      </c>
      <c r="H111" s="7" t="str">
        <f>HYPERLINK("https://my.zakupki.prom.ua/cabinet/purchases/state_plan/view/3798875")</f>
        <v>https://my.zakupki.prom.ua/cabinet/purchases/state_plan/view/3798875</v>
      </c>
    </row>
    <row r="112" spans="1:8">
      <c r="A112" s="1" t="s">
        <v>126</v>
      </c>
      <c r="B112" s="3" t="s">
        <v>127</v>
      </c>
      <c r="C112" s="4">
        <v>20000</v>
      </c>
      <c r="D112" s="1" t="s">
        <v>10</v>
      </c>
      <c r="E112" s="5">
        <v>43105</v>
      </c>
      <c r="F112" s="6">
        <v>43101.083333333336</v>
      </c>
      <c r="G112" s="1" t="s">
        <v>96</v>
      </c>
      <c r="H112" s="7" t="str">
        <f>HYPERLINK("https://my.zakupki.prom.ua/cabinet/purchases/state_plan/view/3599910")</f>
        <v>https://my.zakupki.prom.ua/cabinet/purchases/state_plan/view/3599910</v>
      </c>
    </row>
    <row r="113" spans="1:8" ht="51">
      <c r="A113" s="1" t="s">
        <v>147</v>
      </c>
      <c r="B113" s="3" t="s">
        <v>148</v>
      </c>
      <c r="C113" s="4">
        <v>160000</v>
      </c>
      <c r="D113" s="1" t="s">
        <v>10</v>
      </c>
      <c r="E113" s="5">
        <v>43105</v>
      </c>
      <c r="F113" s="6">
        <v>43101.083333333336</v>
      </c>
      <c r="G113" s="1" t="s">
        <v>149</v>
      </c>
      <c r="H113" s="7" t="str">
        <f>HYPERLINK("https://my.zakupki.prom.ua/cabinet/purchases/state_plan/view/3594872")</f>
        <v>https://my.zakupki.prom.ua/cabinet/purchases/state_plan/view/3594872</v>
      </c>
    </row>
    <row r="114" spans="1:8" ht="25.5">
      <c r="A114" s="1" t="s">
        <v>110</v>
      </c>
      <c r="B114" s="3" t="s">
        <v>111</v>
      </c>
      <c r="C114" s="4">
        <v>20000</v>
      </c>
      <c r="D114" s="1" t="s">
        <v>10</v>
      </c>
      <c r="E114" s="5">
        <v>43105</v>
      </c>
      <c r="F114" s="6">
        <v>43101.083333333336</v>
      </c>
      <c r="G114" s="1" t="s">
        <v>111</v>
      </c>
      <c r="H114" s="7" t="str">
        <f>HYPERLINK("https://my.zakupki.prom.ua/cabinet/purchases/state_plan/view/3601008")</f>
        <v>https://my.zakupki.prom.ua/cabinet/purchases/state_plan/view/3601008</v>
      </c>
    </row>
    <row r="115" spans="1:8" ht="51">
      <c r="A115" s="1" t="s">
        <v>88</v>
      </c>
      <c r="B115" s="3" t="s">
        <v>89</v>
      </c>
      <c r="C115" s="4">
        <v>600</v>
      </c>
      <c r="D115" s="1" t="s">
        <v>10</v>
      </c>
      <c r="E115" s="5">
        <v>43252</v>
      </c>
      <c r="F115" s="6">
        <v>43252.125</v>
      </c>
      <c r="G115" s="1" t="s">
        <v>90</v>
      </c>
      <c r="H115" s="7" t="str">
        <f>HYPERLINK("https://my.zakupki.prom.ua/cabinet/purchases/state_plan/view/5035241")</f>
        <v>https://my.zakupki.prom.ua/cabinet/purchases/state_plan/view/5035241</v>
      </c>
    </row>
    <row r="116" spans="1:8" ht="25.5">
      <c r="A116" s="1" t="s">
        <v>118</v>
      </c>
      <c r="B116" s="3" t="s">
        <v>119</v>
      </c>
      <c r="C116" s="4">
        <v>19000</v>
      </c>
      <c r="D116" s="1" t="s">
        <v>10</v>
      </c>
      <c r="E116" s="5">
        <v>43105</v>
      </c>
      <c r="F116" s="6">
        <v>43101.083333333336</v>
      </c>
      <c r="G116" s="1" t="s">
        <v>119</v>
      </c>
      <c r="H116" s="7" t="str">
        <f>HYPERLINK("https://my.zakupki.prom.ua/cabinet/purchases/state_plan/view/3600988")</f>
        <v>https://my.zakupki.prom.ua/cabinet/purchases/state_plan/view/3600988</v>
      </c>
    </row>
    <row r="117" spans="1:8" ht="25.5">
      <c r="A117" s="1" t="s">
        <v>113</v>
      </c>
      <c r="B117" s="3" t="s">
        <v>114</v>
      </c>
      <c r="C117" s="4">
        <v>80000</v>
      </c>
      <c r="D117" s="1" t="s">
        <v>10</v>
      </c>
      <c r="E117" s="5">
        <v>43105</v>
      </c>
      <c r="F117" s="6">
        <v>43101.083333333336</v>
      </c>
      <c r="G117" s="1" t="s">
        <v>114</v>
      </c>
      <c r="H117" s="7" t="str">
        <f>HYPERLINK("https://my.zakupki.prom.ua/cabinet/purchases/state_plan/view/3601001")</f>
        <v>https://my.zakupki.prom.ua/cabinet/purchases/state_plan/view/3601001</v>
      </c>
    </row>
    <row r="118" spans="1:8" ht="25.5">
      <c r="A118" s="1" t="s">
        <v>42</v>
      </c>
      <c r="B118" s="3" t="s">
        <v>43</v>
      </c>
      <c r="C118" s="4">
        <v>6530</v>
      </c>
      <c r="D118" s="1" t="s">
        <v>10</v>
      </c>
      <c r="E118" s="5">
        <v>43313</v>
      </c>
      <c r="F118" s="6">
        <v>43313.125</v>
      </c>
      <c r="G118" s="1" t="s">
        <v>44</v>
      </c>
      <c r="H118" s="7" t="str">
        <f>HYPERLINK("https://my.zakupki.prom.ua/cabinet/purchases/state_plan/view/5396188")</f>
        <v>https://my.zakupki.prom.ua/cabinet/purchases/state_plan/view/5396188</v>
      </c>
    </row>
    <row r="119" spans="1:8" ht="51">
      <c r="A119" s="1" t="s">
        <v>92</v>
      </c>
      <c r="B119" s="3" t="s">
        <v>93</v>
      </c>
      <c r="C119" s="4">
        <v>195000</v>
      </c>
      <c r="D119" s="1" t="s">
        <v>10</v>
      </c>
      <c r="E119" s="5">
        <v>43119</v>
      </c>
      <c r="F119" s="6">
        <v>43101.083333333336</v>
      </c>
      <c r="G119" s="1" t="s">
        <v>94</v>
      </c>
      <c r="H119" s="7" t="str">
        <f>HYPERLINK("https://my.zakupki.prom.ua/cabinet/purchases/state_plan/view/3799016")</f>
        <v>https://my.zakupki.prom.ua/cabinet/purchases/state_plan/view/3799016</v>
      </c>
    </row>
    <row r="120" spans="1:8" ht="25.5">
      <c r="A120" s="1" t="s">
        <v>104</v>
      </c>
      <c r="B120" s="3" t="s">
        <v>105</v>
      </c>
      <c r="C120" s="4">
        <v>10000</v>
      </c>
      <c r="D120" s="1" t="s">
        <v>10</v>
      </c>
      <c r="E120" s="5">
        <v>43105</v>
      </c>
      <c r="F120" s="6">
        <v>43101.083333333336</v>
      </c>
      <c r="G120" s="1" t="s">
        <v>105</v>
      </c>
      <c r="H120" s="7" t="str">
        <f>HYPERLINK("https://my.zakupki.prom.ua/cabinet/purchases/state_plan/view/3601189")</f>
        <v>https://my.zakupki.prom.ua/cabinet/purchases/state_plan/view/3601189</v>
      </c>
    </row>
    <row r="121" spans="1:8" ht="25.5">
      <c r="A121" s="1" t="s">
        <v>137</v>
      </c>
      <c r="B121" s="3" t="s">
        <v>138</v>
      </c>
      <c r="C121" s="4">
        <v>60500</v>
      </c>
      <c r="D121" s="1" t="s">
        <v>10</v>
      </c>
      <c r="E121" s="5">
        <v>43105</v>
      </c>
      <c r="F121" s="6">
        <v>43101.083333333336</v>
      </c>
      <c r="G121" s="1" t="s">
        <v>138</v>
      </c>
      <c r="H121" s="7" t="str">
        <f>HYPERLINK("https://my.zakupki.prom.ua/cabinet/purchases/state_plan/view/3599389")</f>
        <v>https://my.zakupki.prom.ua/cabinet/purchases/state_plan/view/3599389</v>
      </c>
    </row>
    <row r="122" spans="1:8" ht="25.5">
      <c r="A122" s="1" t="s">
        <v>18</v>
      </c>
      <c r="B122" s="3" t="s">
        <v>19</v>
      </c>
      <c r="C122" s="4">
        <v>4000</v>
      </c>
      <c r="D122" s="1" t="s">
        <v>10</v>
      </c>
      <c r="E122" s="5">
        <v>43383</v>
      </c>
      <c r="F122" s="6">
        <v>43374.125</v>
      </c>
      <c r="G122" s="1" t="s">
        <v>20</v>
      </c>
      <c r="H122" s="7" t="str">
        <f>HYPERLINK("https://my.zakupki.prom.ua/cabinet/purchases/state_plan/view/5806319")</f>
        <v>https://my.zakupki.prom.ua/cabinet/purchases/state_plan/view/5806319</v>
      </c>
    </row>
    <row r="123" spans="1:8" ht="25.5">
      <c r="A123" s="1" t="s">
        <v>99</v>
      </c>
      <c r="B123" s="3" t="s">
        <v>100</v>
      </c>
      <c r="C123" s="4">
        <v>5000</v>
      </c>
      <c r="D123" s="1" t="s">
        <v>10</v>
      </c>
      <c r="E123" s="5">
        <v>43105</v>
      </c>
      <c r="F123" s="6">
        <v>43101.083333333336</v>
      </c>
      <c r="G123" s="1" t="s">
        <v>100</v>
      </c>
      <c r="H123" s="7" t="str">
        <f>HYPERLINK("https://my.zakupki.prom.ua/cabinet/purchases/state_plan/view/3601196")</f>
        <v>https://my.zakupki.prom.ua/cabinet/purchases/state_plan/view/3601196</v>
      </c>
    </row>
    <row r="124" spans="1:8" ht="25.5">
      <c r="A124" s="1" t="s">
        <v>106</v>
      </c>
      <c r="B124" s="3" t="s">
        <v>107</v>
      </c>
      <c r="C124" s="4">
        <v>130000</v>
      </c>
      <c r="D124" s="1" t="s">
        <v>10</v>
      </c>
      <c r="E124" s="5">
        <v>43105</v>
      </c>
      <c r="F124" s="6">
        <v>43101.083333333336</v>
      </c>
      <c r="G124" s="1" t="s">
        <v>107</v>
      </c>
      <c r="H124" s="7" t="str">
        <f>HYPERLINK("https://my.zakupki.prom.ua/cabinet/purchases/state_plan/view/3601186")</f>
        <v>https://my.zakupki.prom.ua/cabinet/purchases/state_plan/view/3601186</v>
      </c>
    </row>
    <row r="125" spans="1:8">
      <c r="A125" s="1" t="s">
        <v>130</v>
      </c>
      <c r="B125" s="3" t="s">
        <v>131</v>
      </c>
      <c r="C125" s="4">
        <v>20000</v>
      </c>
      <c r="D125" s="1" t="s">
        <v>10</v>
      </c>
      <c r="E125" s="5">
        <v>43105</v>
      </c>
      <c r="F125" s="6">
        <v>43101.083333333336</v>
      </c>
      <c r="G125" s="1" t="s">
        <v>131</v>
      </c>
      <c r="H125" s="7" t="str">
        <f>HYPERLINK("https://my.zakupki.prom.ua/cabinet/purchases/state_plan/view/3599440")</f>
        <v>https://my.zakupki.prom.ua/cabinet/purchases/state_plan/view/3599440</v>
      </c>
    </row>
    <row r="126" spans="1:8" ht="25.5">
      <c r="A126" s="1" t="s">
        <v>132</v>
      </c>
      <c r="B126" s="3" t="s">
        <v>133</v>
      </c>
      <c r="C126" s="4">
        <v>15000</v>
      </c>
      <c r="D126" s="1" t="s">
        <v>10</v>
      </c>
      <c r="E126" s="5">
        <v>43105</v>
      </c>
      <c r="F126" s="6">
        <v>43101.083333333336</v>
      </c>
      <c r="G126" s="1" t="s">
        <v>134</v>
      </c>
      <c r="H126" s="7" t="str">
        <f>HYPERLINK("https://my.zakupki.prom.ua/cabinet/purchases/state_plan/view/3599430")</f>
        <v>https://my.zakupki.prom.ua/cabinet/purchases/state_plan/view/3599430</v>
      </c>
    </row>
    <row r="127" spans="1:8" ht="25.5">
      <c r="A127" s="1" t="s">
        <v>36</v>
      </c>
      <c r="B127" s="3" t="s">
        <v>37</v>
      </c>
      <c r="C127" s="4">
        <v>2076</v>
      </c>
      <c r="D127" s="1" t="s">
        <v>10</v>
      </c>
      <c r="E127" s="5">
        <v>43319</v>
      </c>
      <c r="F127" s="6">
        <v>43313.125</v>
      </c>
      <c r="G127" s="1" t="s">
        <v>38</v>
      </c>
      <c r="H127" s="7" t="str">
        <f>HYPERLINK("https://my.zakupki.prom.ua/cabinet/purchases/state_plan/view/5421304")</f>
        <v>https://my.zakupki.prom.ua/cabinet/purchases/state_plan/view/5421304</v>
      </c>
    </row>
    <row r="128" spans="1:8" ht="25.5">
      <c r="A128" s="1" t="s">
        <v>112</v>
      </c>
      <c r="B128" s="3" t="s">
        <v>38</v>
      </c>
      <c r="C128" s="4">
        <v>12000</v>
      </c>
      <c r="D128" s="1" t="s">
        <v>10</v>
      </c>
      <c r="E128" s="5">
        <v>43105</v>
      </c>
      <c r="F128" s="6">
        <v>43101.083333333336</v>
      </c>
      <c r="G128" s="1" t="s">
        <v>38</v>
      </c>
      <c r="H128" s="7" t="str">
        <f>HYPERLINK("https://my.zakupki.prom.ua/cabinet/purchases/state_plan/view/3601004")</f>
        <v>https://my.zakupki.prom.ua/cabinet/purchases/state_plan/view/3601004</v>
      </c>
    </row>
    <row r="129" spans="1:8" ht="25.5">
      <c r="A129" s="1" t="s">
        <v>45</v>
      </c>
      <c r="B129" s="3" t="s">
        <v>46</v>
      </c>
      <c r="C129" s="4">
        <v>20000</v>
      </c>
      <c r="D129" s="1" t="s">
        <v>10</v>
      </c>
      <c r="E129" s="5">
        <v>43312</v>
      </c>
      <c r="F129" s="6">
        <v>43313.125</v>
      </c>
      <c r="G129" s="1" t="s">
        <v>47</v>
      </c>
      <c r="H129" s="7" t="str">
        <f>HYPERLINK("https://my.zakupki.prom.ua/cabinet/purchases/state_plan/view/5388661")</f>
        <v>https://my.zakupki.prom.ua/cabinet/purchases/state_plan/view/5388661</v>
      </c>
    </row>
    <row r="130" spans="1:8" ht="25.5">
      <c r="A130" s="1" t="s">
        <v>81</v>
      </c>
      <c r="B130" s="3" t="s">
        <v>46</v>
      </c>
      <c r="C130" s="4">
        <v>2790</v>
      </c>
      <c r="D130" s="1" t="s">
        <v>10</v>
      </c>
      <c r="E130" s="5">
        <v>43273</v>
      </c>
      <c r="F130" s="6">
        <v>43252.125</v>
      </c>
      <c r="G130" s="1" t="s">
        <v>47</v>
      </c>
      <c r="H130" s="7" t="str">
        <f>HYPERLINK("https://my.zakupki.prom.ua/cabinet/purchases/state_plan/view/5184580")</f>
        <v>https://my.zakupki.prom.ua/cabinet/purchases/state_plan/view/5184580</v>
      </c>
    </row>
    <row r="131" spans="1:8" ht="25.5">
      <c r="A131" s="1" t="s">
        <v>135</v>
      </c>
      <c r="B131" s="3" t="s">
        <v>136</v>
      </c>
      <c r="C131" s="4">
        <v>4000</v>
      </c>
      <c r="D131" s="1" t="s">
        <v>10</v>
      </c>
      <c r="E131" s="5">
        <v>43105</v>
      </c>
      <c r="F131" s="6">
        <v>43101.083333333336</v>
      </c>
      <c r="G131" s="1" t="s">
        <v>136</v>
      </c>
      <c r="H131" s="7" t="str">
        <f>HYPERLINK("https://my.zakupki.prom.ua/cabinet/purchases/state_plan/view/3599418")</f>
        <v>https://my.zakupki.prom.ua/cabinet/purchases/state_plan/view/3599418</v>
      </c>
    </row>
    <row r="132" spans="1:8" ht="38.25">
      <c r="A132" s="1" t="s">
        <v>284</v>
      </c>
      <c r="B132" s="3" t="s">
        <v>285</v>
      </c>
      <c r="C132" s="4">
        <v>3000</v>
      </c>
      <c r="D132" s="1" t="s">
        <v>10</v>
      </c>
      <c r="E132" s="5">
        <v>43193</v>
      </c>
      <c r="F132" s="6">
        <v>43191.125</v>
      </c>
      <c r="G132" s="1" t="s">
        <v>136</v>
      </c>
      <c r="H132" s="7" t="str">
        <f>HYPERLINK("https://my.zakupki.prom.ua/cabinet/purchases/state_plan/view/4660897")</f>
        <v>https://my.zakupki.prom.ua/cabinet/purchases/state_plan/view/4660897</v>
      </c>
    </row>
    <row r="133" spans="1:8">
      <c r="A133" s="1" t="s">
        <v>139</v>
      </c>
      <c r="B133" s="3" t="s">
        <v>140</v>
      </c>
      <c r="C133" s="4">
        <v>2500</v>
      </c>
      <c r="D133" s="1" t="s">
        <v>10</v>
      </c>
      <c r="E133" s="5">
        <v>43105</v>
      </c>
      <c r="F133" s="6">
        <v>43101.083333333336</v>
      </c>
      <c r="G133" s="1" t="s">
        <v>140</v>
      </c>
      <c r="H133" s="7" t="str">
        <f>HYPERLINK("https://my.zakupki.prom.ua/cabinet/purchases/state_plan/view/3599256")</f>
        <v>https://my.zakupki.prom.ua/cabinet/purchases/state_plan/view/3599256</v>
      </c>
    </row>
    <row r="134" spans="1:8" ht="25.5">
      <c r="A134" s="1" t="s">
        <v>307</v>
      </c>
      <c r="B134" s="3" t="s">
        <v>308</v>
      </c>
      <c r="C134" s="4">
        <v>6400</v>
      </c>
      <c r="D134" s="1" t="s">
        <v>10</v>
      </c>
      <c r="E134" s="5">
        <v>43123</v>
      </c>
      <c r="F134" s="6">
        <v>43101.083333333336</v>
      </c>
      <c r="G134" s="1" t="s">
        <v>140</v>
      </c>
      <c r="H134" s="7" t="str">
        <f>HYPERLINK("https://my.zakupki.prom.ua/cabinet/purchases/state_plan/view/3888772")</f>
        <v>https://my.zakupki.prom.ua/cabinet/purchases/state_plan/view/3888772</v>
      </c>
    </row>
    <row r="135" spans="1:8" ht="38.25">
      <c r="A135" s="1" t="s">
        <v>120</v>
      </c>
      <c r="B135" s="3" t="s">
        <v>121</v>
      </c>
      <c r="C135" s="4">
        <v>50000</v>
      </c>
      <c r="D135" s="1" t="s">
        <v>10</v>
      </c>
      <c r="E135" s="5">
        <v>43105</v>
      </c>
      <c r="F135" s="6">
        <v>43101.083333333336</v>
      </c>
      <c r="G135" s="1" t="s">
        <v>121</v>
      </c>
      <c r="H135" s="7" t="str">
        <f>HYPERLINK("https://my.zakupki.prom.ua/cabinet/purchases/state_plan/view/3600984")</f>
        <v>https://my.zakupki.prom.ua/cabinet/purchases/state_plan/view/3600984</v>
      </c>
    </row>
    <row r="136" spans="1:8">
      <c r="A136" s="1" t="s">
        <v>108</v>
      </c>
      <c r="B136" s="3" t="s">
        <v>109</v>
      </c>
      <c r="C136" s="4">
        <v>44000</v>
      </c>
      <c r="D136" s="1" t="s">
        <v>10</v>
      </c>
      <c r="E136" s="5">
        <v>43105</v>
      </c>
      <c r="F136" s="6">
        <v>43101.083333333336</v>
      </c>
      <c r="G136" s="1" t="s">
        <v>109</v>
      </c>
      <c r="H136" s="7" t="str">
        <f>HYPERLINK("https://my.zakupki.prom.ua/cabinet/purchases/state_plan/view/3601085")</f>
        <v>https://my.zakupki.prom.ua/cabinet/purchases/state_plan/view/3601085</v>
      </c>
    </row>
    <row r="137" spans="1:8" ht="25.5">
      <c r="A137" s="1" t="s">
        <v>301</v>
      </c>
      <c r="B137" s="3" t="s">
        <v>302</v>
      </c>
      <c r="C137" s="4">
        <v>2200</v>
      </c>
      <c r="D137" s="1" t="s">
        <v>10</v>
      </c>
      <c r="E137" s="5">
        <v>43133</v>
      </c>
      <c r="F137" s="6">
        <v>43132.083333333336</v>
      </c>
      <c r="G137" s="1" t="s">
        <v>303</v>
      </c>
      <c r="H137" s="7" t="str">
        <f>HYPERLINK("https://my.zakupki.prom.ua/cabinet/purchases/state_plan/view/4129625")</f>
        <v>https://my.zakupki.prom.ua/cabinet/purchases/state_plan/view/4129625</v>
      </c>
    </row>
    <row r="138" spans="1:8" ht="25.5">
      <c r="A138" s="1" t="s">
        <v>329</v>
      </c>
      <c r="B138" s="3" t="s">
        <v>330</v>
      </c>
      <c r="C138" s="4">
        <v>14000</v>
      </c>
      <c r="D138" s="1" t="s">
        <v>10</v>
      </c>
      <c r="E138" s="5">
        <v>43147</v>
      </c>
      <c r="F138" s="6">
        <v>43132.083333333336</v>
      </c>
      <c r="G138" s="1" t="s">
        <v>303</v>
      </c>
      <c r="H138" s="7" t="str">
        <f>HYPERLINK("https://my.zakupki.prom.ua/cabinet/purchases/state_plan/view/4298324")</f>
        <v>https://my.zakupki.prom.ua/cabinet/purchases/state_plan/view/4298324</v>
      </c>
    </row>
    <row r="139" spans="1:8" ht="25.5">
      <c r="A139" s="1" t="s">
        <v>123</v>
      </c>
      <c r="B139" s="3" t="s">
        <v>124</v>
      </c>
      <c r="C139" s="4">
        <v>2000</v>
      </c>
      <c r="D139" s="1" t="s">
        <v>10</v>
      </c>
      <c r="E139" s="5">
        <v>43105</v>
      </c>
      <c r="F139" s="6">
        <v>43101.083333333336</v>
      </c>
      <c r="G139" s="1" t="s">
        <v>125</v>
      </c>
      <c r="H139" s="7" t="str">
        <f>HYPERLINK("https://my.zakupki.prom.ua/cabinet/purchases/state_plan/view/3600882")</f>
        <v>https://my.zakupki.prom.ua/cabinet/purchases/state_plan/view/3600882</v>
      </c>
    </row>
    <row r="140" spans="1:8" ht="25.5">
      <c r="A140" s="1" t="s">
        <v>128</v>
      </c>
      <c r="B140" s="3" t="s">
        <v>129</v>
      </c>
      <c r="C140" s="4">
        <v>40000</v>
      </c>
      <c r="D140" s="1" t="s">
        <v>10</v>
      </c>
      <c r="E140" s="5">
        <v>43105</v>
      </c>
      <c r="F140" s="6">
        <v>43101.083333333336</v>
      </c>
      <c r="G140" s="1" t="s">
        <v>129</v>
      </c>
      <c r="H140" s="7" t="str">
        <f>HYPERLINK("https://my.zakupki.prom.ua/cabinet/purchases/state_plan/view/3599895")</f>
        <v>https://my.zakupki.prom.ua/cabinet/purchases/state_plan/view/3599895</v>
      </c>
    </row>
    <row r="141" spans="1:8" ht="38.25">
      <c r="A141" s="1" t="s">
        <v>60</v>
      </c>
      <c r="B141" s="3" t="s">
        <v>61</v>
      </c>
      <c r="C141" s="4">
        <v>500</v>
      </c>
      <c r="D141" s="1" t="s">
        <v>10</v>
      </c>
      <c r="E141" s="5">
        <v>43293</v>
      </c>
      <c r="F141" s="6">
        <v>43282.125</v>
      </c>
      <c r="G141" s="1" t="s">
        <v>62</v>
      </c>
      <c r="H141" s="7" t="str">
        <f>HYPERLINK("https://my.zakupki.prom.ua/cabinet/purchases/state_plan/view/5284022")</f>
        <v>https://my.zakupki.prom.ua/cabinet/purchases/state_plan/view/5284022</v>
      </c>
    </row>
    <row r="142" spans="1:8" ht="25.5">
      <c r="A142" s="1" t="s">
        <v>122</v>
      </c>
      <c r="B142" s="3" t="s">
        <v>62</v>
      </c>
      <c r="C142" s="4">
        <v>3000</v>
      </c>
      <c r="D142" s="1" t="s">
        <v>10</v>
      </c>
      <c r="E142" s="5">
        <v>43105</v>
      </c>
      <c r="F142" s="6">
        <v>43101.083333333336</v>
      </c>
      <c r="G142" s="1" t="s">
        <v>62</v>
      </c>
      <c r="H142" s="7" t="str">
        <f>HYPERLINK("https://my.zakupki.prom.ua/cabinet/purchases/state_plan/view/3600980")</f>
        <v>https://my.zakupki.prom.ua/cabinet/purchases/state_plan/view/3600980</v>
      </c>
    </row>
    <row r="143" spans="1:8" ht="25.5">
      <c r="A143" s="1" t="s">
        <v>97</v>
      </c>
      <c r="B143" s="3" t="s">
        <v>98</v>
      </c>
      <c r="C143" s="4">
        <v>15000</v>
      </c>
      <c r="D143" s="1" t="s">
        <v>10</v>
      </c>
      <c r="E143" s="5">
        <v>43105</v>
      </c>
      <c r="F143" s="6">
        <v>43101.083333333336</v>
      </c>
      <c r="G143" s="1" t="s">
        <v>98</v>
      </c>
      <c r="H143" s="7" t="str">
        <f>HYPERLINK("https://my.zakupki.prom.ua/cabinet/purchases/state_plan/view/3601262")</f>
        <v>https://my.zakupki.prom.ua/cabinet/purchases/state_plan/view/3601262</v>
      </c>
    </row>
    <row r="144" spans="1:8" ht="25.5">
      <c r="A144" s="1" t="s">
        <v>327</v>
      </c>
      <c r="B144" s="3" t="s">
        <v>328</v>
      </c>
      <c r="C144" s="4">
        <v>197826</v>
      </c>
      <c r="D144" s="1" t="s">
        <v>10</v>
      </c>
      <c r="E144" s="5">
        <v>43182</v>
      </c>
      <c r="F144" s="6">
        <v>43132.083333333336</v>
      </c>
      <c r="G144" s="1" t="s">
        <v>274</v>
      </c>
      <c r="H144" s="7" t="str">
        <f>HYPERLINK("https://my.zakupki.prom.ua/cabinet/purchases/state_plan/view/4590142")</f>
        <v>https://my.zakupki.prom.ua/cabinet/purchases/state_plan/view/4590142</v>
      </c>
    </row>
    <row r="145" spans="1:8" ht="38.25">
      <c r="A145" s="1" t="s">
        <v>349</v>
      </c>
      <c r="B145" s="3" t="s">
        <v>273</v>
      </c>
      <c r="C145" s="4">
        <v>142000</v>
      </c>
      <c r="D145" s="1" t="s">
        <v>10</v>
      </c>
      <c r="E145" s="5">
        <v>43122</v>
      </c>
      <c r="F145" s="6">
        <v>43132.083333333336</v>
      </c>
      <c r="G145" s="1" t="s">
        <v>274</v>
      </c>
      <c r="H145" s="7" t="str">
        <f>HYPERLINK("https://my.zakupki.prom.ua/cabinet/purchases/state_plan/view/3846391")</f>
        <v>https://my.zakupki.prom.ua/cabinet/purchases/state_plan/view/3846391</v>
      </c>
    </row>
    <row r="146" spans="1:8" ht="25.5">
      <c r="A146" s="1" t="s">
        <v>144</v>
      </c>
      <c r="B146" s="3" t="s">
        <v>145</v>
      </c>
      <c r="C146" s="4">
        <v>180000</v>
      </c>
      <c r="D146" s="1" t="s">
        <v>10</v>
      </c>
      <c r="E146" s="5">
        <v>43105</v>
      </c>
      <c r="F146" s="6">
        <v>43101.083333333336</v>
      </c>
      <c r="G146" s="1" t="s">
        <v>146</v>
      </c>
      <c r="H146" s="7" t="str">
        <f>HYPERLINK("https://my.zakupki.prom.ua/cabinet/purchases/state_plan/view/3594987")</f>
        <v>https://my.zakupki.prom.ua/cabinet/purchases/state_plan/view/3594987</v>
      </c>
    </row>
  </sheetData>
  <sortState ref="A2:K143">
    <sortCondition ref="G8"/>
  </sortState>
  <mergeCells count="4">
    <mergeCell ref="A1:I1"/>
    <mergeCell ref="A2:I2"/>
    <mergeCell ref="A3:I3"/>
    <mergeCell ref="A4:I4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Андрій</cp:lastModifiedBy>
  <dcterms:created xsi:type="dcterms:W3CDTF">2019-06-03T05:54:33Z</dcterms:created>
  <dcterms:modified xsi:type="dcterms:W3CDTF">2019-06-04T12:03:51Z</dcterms:modified>
</cp:coreProperties>
</file>