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0730" windowHeight="11700" firstSheet="1" activeTab="1"/>
  </bookViews>
  <sheets>
    <sheet name="паспорт до 01.01.2020" sheetId="1" state="hidden" r:id="rId1"/>
    <sheet name="паспорт добре" sheetId="4" r:id="rId2"/>
    <sheet name="звіт до 01.01.2020" sheetId="2" state="hidden" r:id="rId3"/>
    <sheet name="звіт з 01.01.2020" sheetId="3" state="hidden" r:id="rId4"/>
    <sheet name="Лист1" sheetId="5" r:id="rId5"/>
  </sheets>
  <externalReferences>
    <externalReference r:id="rId6"/>
  </externalReferences>
  <definedNames>
    <definedName name="_xlnm.Print_Area" localSheetId="3">'звіт з 01.01.2020'!$A$1:$M$75</definedName>
    <definedName name="_xlnm.Print_Area" localSheetId="1">'паспорт добре'!$A$1:$G$1457</definedName>
  </definedNames>
  <calcPr calcId="125725"/>
</workbook>
</file>

<file path=xl/calcChain.xml><?xml version="1.0" encoding="utf-8"?>
<calcChain xmlns="http://schemas.openxmlformats.org/spreadsheetml/2006/main">
  <c r="E208" i="4"/>
  <c r="E136" l="1"/>
  <c r="G315"/>
  <c r="E309"/>
  <c r="E311"/>
  <c r="E319" s="1"/>
  <c r="G319" s="1"/>
  <c r="E222"/>
  <c r="E227" s="1"/>
  <c r="G311" l="1"/>
  <c r="F503"/>
  <c r="F507" s="1"/>
  <c r="F1414"/>
  <c r="F1416" s="1"/>
  <c r="G1416" s="1"/>
  <c r="G1420"/>
  <c r="G1418"/>
  <c r="F1289"/>
  <c r="G1289" s="1"/>
  <c r="G1414" l="1"/>
  <c r="F1197"/>
  <c r="F1200" s="1"/>
  <c r="G1200" s="1"/>
  <c r="G1205"/>
  <c r="G1203"/>
  <c r="G1202"/>
  <c r="G1199"/>
  <c r="F1186"/>
  <c r="F1189" s="1"/>
  <c r="G1189" s="1"/>
  <c r="G1194"/>
  <c r="G1192"/>
  <c r="G1191"/>
  <c r="G1188"/>
  <c r="F1175"/>
  <c r="F1178" s="1"/>
  <c r="G1178" s="1"/>
  <c r="F1164"/>
  <c r="F1167" s="1"/>
  <c r="G1167" s="1"/>
  <c r="F1153"/>
  <c r="G1153" s="1"/>
  <c r="F1144"/>
  <c r="G1183"/>
  <c r="G1181"/>
  <c r="G1180"/>
  <c r="G1177"/>
  <c r="G1175"/>
  <c r="G1172"/>
  <c r="G1170"/>
  <c r="G1169"/>
  <c r="G1166"/>
  <c r="G1164"/>
  <c r="G1161"/>
  <c r="G1159"/>
  <c r="G1158"/>
  <c r="G1156"/>
  <c r="G1155"/>
  <c r="G1150"/>
  <c r="G1148"/>
  <c r="G1146"/>
  <c r="G1144"/>
  <c r="F1053"/>
  <c r="F941"/>
  <c r="F846"/>
  <c r="F849" s="1"/>
  <c r="G849" s="1"/>
  <c r="G854"/>
  <c r="G852"/>
  <c r="G851"/>
  <c r="G848"/>
  <c r="F667"/>
  <c r="F670" s="1"/>
  <c r="G670" s="1"/>
  <c r="G675"/>
  <c r="G673"/>
  <c r="G672"/>
  <c r="G669"/>
  <c r="G647"/>
  <c r="G649"/>
  <c r="F650"/>
  <c r="G650" s="1"/>
  <c r="G652"/>
  <c r="G653"/>
  <c r="G655"/>
  <c r="F625"/>
  <c r="F570"/>
  <c r="F539"/>
  <c r="F542" s="1"/>
  <c r="E343"/>
  <c r="G104"/>
  <c r="H104" s="1"/>
  <c r="G129"/>
  <c r="G395"/>
  <c r="E394"/>
  <c r="G392"/>
  <c r="G157"/>
  <c r="G148"/>
  <c r="H157" l="1"/>
  <c r="I149" s="1"/>
  <c r="G846"/>
  <c r="G1197"/>
  <c r="G1186"/>
  <c r="G667"/>
  <c r="H392"/>
  <c r="G128"/>
  <c r="G116"/>
  <c r="G127"/>
  <c r="G126"/>
  <c r="G115"/>
  <c r="H115" s="1"/>
  <c r="G114"/>
  <c r="H114" s="1"/>
  <c r="G124"/>
  <c r="G109"/>
  <c r="E102"/>
  <c r="E100" s="1"/>
  <c r="C91"/>
  <c r="G1439"/>
  <c r="G1437"/>
  <c r="G1435"/>
  <c r="F1433"/>
  <c r="G1433" s="1"/>
  <c r="F1424"/>
  <c r="F887"/>
  <c r="F891" s="1"/>
  <c r="F688"/>
  <c r="F512"/>
  <c r="F516" s="1"/>
  <c r="F485"/>
  <c r="F489" s="1"/>
  <c r="D64"/>
  <c r="F64" s="1"/>
  <c r="E326"/>
  <c r="G326" s="1"/>
  <c r="G330"/>
  <c r="G328"/>
  <c r="G324"/>
  <c r="D53"/>
  <c r="F53" s="1"/>
  <c r="G204"/>
  <c r="G202"/>
  <c r="G198"/>
  <c r="E200"/>
  <c r="G200" s="1"/>
  <c r="F1279"/>
  <c r="F1220"/>
  <c r="F867"/>
  <c r="F959"/>
  <c r="F962" s="1"/>
  <c r="G1141"/>
  <c r="G1139"/>
  <c r="G1138"/>
  <c r="G1135"/>
  <c r="G1133"/>
  <c r="F1136"/>
  <c r="G1136" s="1"/>
  <c r="G1128"/>
  <c r="G1127"/>
  <c r="G1124"/>
  <c r="G1122"/>
  <c r="F1125"/>
  <c r="G1125" s="1"/>
  <c r="G843"/>
  <c r="G841"/>
  <c r="G840"/>
  <c r="G837"/>
  <c r="G835"/>
  <c r="F838"/>
  <c r="G838" s="1"/>
  <c r="F573"/>
  <c r="G664"/>
  <c r="G662"/>
  <c r="G660"/>
  <c r="G658"/>
  <c r="F1223" l="1"/>
  <c r="E79"/>
  <c r="F692"/>
  <c r="H116"/>
  <c r="H109"/>
  <c r="E83"/>
  <c r="G644"/>
  <c r="G642"/>
  <c r="G641"/>
  <c r="G638"/>
  <c r="G636"/>
  <c r="F639"/>
  <c r="G639" s="1"/>
  <c r="G633"/>
  <c r="G631"/>
  <c r="G630"/>
  <c r="G627"/>
  <c r="F628"/>
  <c r="G628" s="1"/>
  <c r="G625"/>
  <c r="G276" l="1"/>
  <c r="G272"/>
  <c r="E270"/>
  <c r="E274" s="1"/>
  <c r="G274" s="1"/>
  <c r="E335"/>
  <c r="G335" s="1"/>
  <c r="E333"/>
  <c r="G340"/>
  <c r="G338"/>
  <c r="G337"/>
  <c r="G333"/>
  <c r="G331"/>
  <c r="E152"/>
  <c r="D60"/>
  <c r="F60" s="1"/>
  <c r="D65"/>
  <c r="F65" s="1"/>
  <c r="F83"/>
  <c r="G1411"/>
  <c r="G1409"/>
  <c r="G1408"/>
  <c r="G1406"/>
  <c r="G1405"/>
  <c r="G1403"/>
  <c r="F1385"/>
  <c r="F1389" s="1"/>
  <c r="G1389" s="1"/>
  <c r="G1391"/>
  <c r="G1387"/>
  <c r="F1376"/>
  <c r="F1380" s="1"/>
  <c r="G1380" s="1"/>
  <c r="G1373"/>
  <c r="G1371"/>
  <c r="G1370"/>
  <c r="G1368"/>
  <c r="G1367"/>
  <c r="G1365"/>
  <c r="F1356"/>
  <c r="G1356" s="1"/>
  <c r="F1347"/>
  <c r="F1322" s="1"/>
  <c r="G1344"/>
  <c r="G1342"/>
  <c r="G1341"/>
  <c r="G1339"/>
  <c r="G1338"/>
  <c r="G1336"/>
  <c r="G1333"/>
  <c r="G1331"/>
  <c r="G1330"/>
  <c r="G1328"/>
  <c r="G1327"/>
  <c r="G1325"/>
  <c r="F1319"/>
  <c r="F1318"/>
  <c r="F1317"/>
  <c r="G1317" s="1"/>
  <c r="F1315"/>
  <c r="G1315" s="1"/>
  <c r="G1313"/>
  <c r="G1312"/>
  <c r="F1301"/>
  <c r="G1301" s="1"/>
  <c r="G1306"/>
  <c r="G1288"/>
  <c r="G1287"/>
  <c r="G1286"/>
  <c r="G1285"/>
  <c r="G1284"/>
  <c r="G1283"/>
  <c r="G1282"/>
  <c r="G1281"/>
  <c r="G1280"/>
  <c r="G1279"/>
  <c r="G1278"/>
  <c r="F1277"/>
  <c r="G1277" s="1"/>
  <c r="F1276"/>
  <c r="F1275"/>
  <c r="F79"/>
  <c r="G1228"/>
  <c r="G1226"/>
  <c r="G1225"/>
  <c r="G1223"/>
  <c r="G1222"/>
  <c r="G1220"/>
  <c r="G1272"/>
  <c r="G1270"/>
  <c r="G1269"/>
  <c r="G1267"/>
  <c r="G1266"/>
  <c r="G1264"/>
  <c r="G1261"/>
  <c r="G1259"/>
  <c r="G1258"/>
  <c r="G1256"/>
  <c r="G1255"/>
  <c r="G1253"/>
  <c r="G1250"/>
  <c r="G1248"/>
  <c r="G1247"/>
  <c r="G1245"/>
  <c r="G1244"/>
  <c r="G1242"/>
  <c r="G1239"/>
  <c r="G1237"/>
  <c r="G1236"/>
  <c r="G1234"/>
  <c r="G1233"/>
  <c r="G1231"/>
  <c r="G1217"/>
  <c r="G1215"/>
  <c r="G1214"/>
  <c r="G1212"/>
  <c r="G1211"/>
  <c r="G1209"/>
  <c r="F1006"/>
  <c r="G1006" s="1"/>
  <c r="G1119"/>
  <c r="G1117"/>
  <c r="G1116"/>
  <c r="G1114"/>
  <c r="G1113"/>
  <c r="G1111"/>
  <c r="G1108"/>
  <c r="G1106"/>
  <c r="G1105"/>
  <c r="G1103"/>
  <c r="G1102"/>
  <c r="G1100"/>
  <c r="F1091"/>
  <c r="F1093" s="1"/>
  <c r="G1093" s="1"/>
  <c r="F1082"/>
  <c r="G1082" s="1"/>
  <c r="F1073"/>
  <c r="F1075" s="1"/>
  <c r="G1075" s="1"/>
  <c r="F1062"/>
  <c r="G1070"/>
  <c r="G1068"/>
  <c r="G1067"/>
  <c r="G1065"/>
  <c r="G1064"/>
  <c r="G1062"/>
  <c r="G1097"/>
  <c r="G1095"/>
  <c r="G1088"/>
  <c r="G1086"/>
  <c r="G1079"/>
  <c r="G1077"/>
  <c r="F1055"/>
  <c r="G1055" s="1"/>
  <c r="F1044"/>
  <c r="F1046" s="1"/>
  <c r="G1046" s="1"/>
  <c r="G1050"/>
  <c r="G1048"/>
  <c r="F1035"/>
  <c r="G1041"/>
  <c r="G1039"/>
  <c r="G1037"/>
  <c r="G1035"/>
  <c r="F1026"/>
  <c r="F1028" s="1"/>
  <c r="G1028" s="1"/>
  <c r="G1030"/>
  <c r="G1023"/>
  <c r="G1021"/>
  <c r="G1020"/>
  <c r="G1018"/>
  <c r="G1017"/>
  <c r="G1015"/>
  <c r="F997"/>
  <c r="G1003"/>
  <c r="G1001"/>
  <c r="G999"/>
  <c r="G997"/>
  <c r="F988"/>
  <c r="F990" s="1"/>
  <c r="G990" s="1"/>
  <c r="G994"/>
  <c r="G992"/>
  <c r="F979"/>
  <c r="G979" s="1"/>
  <c r="G985"/>
  <c r="G983"/>
  <c r="F970"/>
  <c r="F972" s="1"/>
  <c r="G972" s="1"/>
  <c r="G976"/>
  <c r="G974"/>
  <c r="G967"/>
  <c r="G965"/>
  <c r="G964"/>
  <c r="G962"/>
  <c r="G961"/>
  <c r="G959"/>
  <c r="F950"/>
  <c r="F952" s="1"/>
  <c r="G952" s="1"/>
  <c r="F943"/>
  <c r="G943" s="1"/>
  <c r="F932"/>
  <c r="F934" s="1"/>
  <c r="G934" s="1"/>
  <c r="F923"/>
  <c r="F925" s="1"/>
  <c r="G925" s="1"/>
  <c r="G938"/>
  <c r="G936"/>
  <c r="G929"/>
  <c r="G927"/>
  <c r="G922"/>
  <c r="G921"/>
  <c r="F914"/>
  <c r="F916" s="1"/>
  <c r="G916" s="1"/>
  <c r="F907"/>
  <c r="F896"/>
  <c r="F898" s="1"/>
  <c r="G898" s="1"/>
  <c r="G889"/>
  <c r="G884"/>
  <c r="G882"/>
  <c r="G881"/>
  <c r="G879"/>
  <c r="G878"/>
  <c r="G876"/>
  <c r="G873"/>
  <c r="G871"/>
  <c r="F869"/>
  <c r="G869" s="1"/>
  <c r="F858"/>
  <c r="F855" s="1"/>
  <c r="G832"/>
  <c r="G830"/>
  <c r="G829"/>
  <c r="G827"/>
  <c r="G826"/>
  <c r="G824"/>
  <c r="G810"/>
  <c r="G808"/>
  <c r="G807"/>
  <c r="G805"/>
  <c r="G804"/>
  <c r="G802"/>
  <c r="G799"/>
  <c r="G797"/>
  <c r="G796"/>
  <c r="G794"/>
  <c r="G793"/>
  <c r="G791"/>
  <c r="G821"/>
  <c r="G819"/>
  <c r="G818"/>
  <c r="G816"/>
  <c r="G815"/>
  <c r="G813"/>
  <c r="G788"/>
  <c r="G786"/>
  <c r="G784"/>
  <c r="G782"/>
  <c r="G779"/>
  <c r="G777"/>
  <c r="G775"/>
  <c r="G773"/>
  <c r="G770"/>
  <c r="G768"/>
  <c r="G767"/>
  <c r="G765"/>
  <c r="G764"/>
  <c r="G762"/>
  <c r="F753"/>
  <c r="F755" s="1"/>
  <c r="G755" s="1"/>
  <c r="G759"/>
  <c r="G757"/>
  <c r="F744"/>
  <c r="F748" s="1"/>
  <c r="G748" s="1"/>
  <c r="G750"/>
  <c r="G746"/>
  <c r="G741"/>
  <c r="F739"/>
  <c r="G739" s="1"/>
  <c r="G737"/>
  <c r="F735"/>
  <c r="G735" s="1"/>
  <c r="G732"/>
  <c r="G730"/>
  <c r="G728"/>
  <c r="F726"/>
  <c r="G726" s="1"/>
  <c r="G723"/>
  <c r="G721"/>
  <c r="G720"/>
  <c r="G718"/>
  <c r="G717"/>
  <c r="G715"/>
  <c r="G710"/>
  <c r="G712"/>
  <c r="F706"/>
  <c r="F708" s="1"/>
  <c r="G708" s="1"/>
  <c r="F697"/>
  <c r="F676" s="1"/>
  <c r="G753"/>
  <c r="G692"/>
  <c r="G690"/>
  <c r="G688"/>
  <c r="G685"/>
  <c r="G683"/>
  <c r="G681"/>
  <c r="G694"/>
  <c r="G679"/>
  <c r="G620"/>
  <c r="G617"/>
  <c r="G614"/>
  <c r="G611"/>
  <c r="G609"/>
  <c r="G605"/>
  <c r="G603"/>
  <c r="G600"/>
  <c r="G598"/>
  <c r="G595"/>
  <c r="G594"/>
  <c r="G576"/>
  <c r="G575"/>
  <c r="G578"/>
  <c r="G589"/>
  <c r="G587"/>
  <c r="G586"/>
  <c r="G584"/>
  <c r="G573"/>
  <c r="F561"/>
  <c r="F563" s="1"/>
  <c r="G563" s="1"/>
  <c r="F553"/>
  <c r="G553" s="1"/>
  <c r="G547"/>
  <c r="G545"/>
  <c r="G544"/>
  <c r="G542"/>
  <c r="G541"/>
  <c r="G539"/>
  <c r="G536"/>
  <c r="G534"/>
  <c r="G532"/>
  <c r="G530"/>
  <c r="G527"/>
  <c r="G525"/>
  <c r="G523"/>
  <c r="G521"/>
  <c r="G518"/>
  <c r="G516"/>
  <c r="G514"/>
  <c r="G512"/>
  <c r="G500"/>
  <c r="G498"/>
  <c r="G496"/>
  <c r="G494"/>
  <c r="G491"/>
  <c r="G489"/>
  <c r="G487"/>
  <c r="G485"/>
  <c r="F476"/>
  <c r="G476" s="1"/>
  <c r="F465"/>
  <c r="F468" s="1"/>
  <c r="G468" s="1"/>
  <c r="G459"/>
  <c r="G456"/>
  <c r="F454"/>
  <c r="F457" s="1"/>
  <c r="G457" s="1"/>
  <c r="G448"/>
  <c r="G445"/>
  <c r="F443"/>
  <c r="F446" s="1"/>
  <c r="G446" s="1"/>
  <c r="F432"/>
  <c r="F435" s="1"/>
  <c r="G435" s="1"/>
  <c r="G423"/>
  <c r="G426"/>
  <c r="F421"/>
  <c r="F418" s="1"/>
  <c r="E401"/>
  <c r="G401" s="1"/>
  <c r="E410"/>
  <c r="E414" s="1"/>
  <c r="G414" s="1"/>
  <c r="G394"/>
  <c r="E389"/>
  <c r="D71" s="1"/>
  <c r="F71" s="1"/>
  <c r="E383"/>
  <c r="E379"/>
  <c r="G379" s="1"/>
  <c r="E370"/>
  <c r="D68" s="1"/>
  <c r="F68" s="1"/>
  <c r="E360"/>
  <c r="D67" s="1"/>
  <c r="F67" s="1"/>
  <c r="E352"/>
  <c r="G352" s="1"/>
  <c r="D66"/>
  <c r="F66" s="1"/>
  <c r="E310"/>
  <c r="E280"/>
  <c r="D62" s="1"/>
  <c r="F62" s="1"/>
  <c r="H245"/>
  <c r="H242"/>
  <c r="H239"/>
  <c r="H237"/>
  <c r="E233"/>
  <c r="D59" s="1"/>
  <c r="D57"/>
  <c r="F57" s="1"/>
  <c r="D55"/>
  <c r="F55" s="1"/>
  <c r="H166"/>
  <c r="E163"/>
  <c r="D52" s="1"/>
  <c r="F52" s="1"/>
  <c r="D51"/>
  <c r="G107"/>
  <c r="D73"/>
  <c r="F73" s="1"/>
  <c r="G407"/>
  <c r="H156"/>
  <c r="H351"/>
  <c r="H352"/>
  <c r="C92"/>
  <c r="G265"/>
  <c r="G249"/>
  <c r="G701"/>
  <c r="G1430"/>
  <c r="F1428"/>
  <c r="G1428" s="1"/>
  <c r="G1426"/>
  <c r="G1424"/>
  <c r="G608"/>
  <c r="G606"/>
  <c r="E159"/>
  <c r="G159" s="1"/>
  <c r="G156"/>
  <c r="G147"/>
  <c r="G190"/>
  <c r="G179"/>
  <c r="D49"/>
  <c r="F49" s="1"/>
  <c r="E191"/>
  <c r="G191" s="1"/>
  <c r="F1396"/>
  <c r="G1396" s="1"/>
  <c r="G1400"/>
  <c r="G1398"/>
  <c r="G1394"/>
  <c r="G619"/>
  <c r="G918"/>
  <c r="G556"/>
  <c r="G427"/>
  <c r="G180"/>
  <c r="G907"/>
  <c r="G592"/>
  <c r="G567"/>
  <c r="G583"/>
  <c r="G581"/>
  <c r="G572"/>
  <c r="G570"/>
  <c r="E318"/>
  <c r="G318" s="1"/>
  <c r="G302"/>
  <c r="G260"/>
  <c r="G244"/>
  <c r="G188"/>
  <c r="G177"/>
  <c r="G565"/>
  <c r="G558"/>
  <c r="G555"/>
  <c r="G552"/>
  <c r="G550"/>
  <c r="G703"/>
  <c r="G1319"/>
  <c r="G1307"/>
  <c r="G1293"/>
  <c r="G317"/>
  <c r="G251"/>
  <c r="G235"/>
  <c r="H235" s="1"/>
  <c r="G264"/>
  <c r="G263"/>
  <c r="G262"/>
  <c r="G259"/>
  <c r="G258"/>
  <c r="G257"/>
  <c r="G256"/>
  <c r="G255"/>
  <c r="G254"/>
  <c r="G253"/>
  <c r="G222"/>
  <c r="G168"/>
  <c r="G166"/>
  <c r="G164"/>
  <c r="G136"/>
  <c r="G155"/>
  <c r="G1382"/>
  <c r="G1378"/>
  <c r="G1376"/>
  <c r="G1362"/>
  <c r="G1360"/>
  <c r="G1353"/>
  <c r="G1351"/>
  <c r="G1347"/>
  <c r="G1321"/>
  <c r="G1318"/>
  <c r="G1316"/>
  <c r="G1311"/>
  <c r="G1310"/>
  <c r="G1309"/>
  <c r="G1305"/>
  <c r="G1304"/>
  <c r="G1303"/>
  <c r="G1300"/>
  <c r="G1299"/>
  <c r="G1292"/>
  <c r="I1296" s="1"/>
  <c r="F1296" s="1"/>
  <c r="G1296" s="1"/>
  <c r="G1291"/>
  <c r="G1059"/>
  <c r="G1057"/>
  <c r="G1053"/>
  <c r="G1012"/>
  <c r="G1010"/>
  <c r="G956"/>
  <c r="G954"/>
  <c r="G950"/>
  <c r="G947"/>
  <c r="G945"/>
  <c r="G920"/>
  <c r="G911"/>
  <c r="G909"/>
  <c r="G902"/>
  <c r="G900"/>
  <c r="G896"/>
  <c r="G893"/>
  <c r="G891"/>
  <c r="G864"/>
  <c r="G862"/>
  <c r="G858"/>
  <c r="G622"/>
  <c r="G621"/>
  <c r="G618"/>
  <c r="G616"/>
  <c r="G509"/>
  <c r="G507"/>
  <c r="G505"/>
  <c r="G503"/>
  <c r="G482"/>
  <c r="G480"/>
  <c r="G478"/>
  <c r="G473"/>
  <c r="G471"/>
  <c r="G470"/>
  <c r="G467"/>
  <c r="G465"/>
  <c r="G462"/>
  <c r="G460"/>
  <c r="G454"/>
  <c r="G451"/>
  <c r="G449"/>
  <c r="G440"/>
  <c r="G438"/>
  <c r="G437"/>
  <c r="G434"/>
  <c r="G432"/>
  <c r="G429"/>
  <c r="G421"/>
  <c r="G385"/>
  <c r="G381"/>
  <c r="G376"/>
  <c r="G372"/>
  <c r="G367"/>
  <c r="G363"/>
  <c r="G362"/>
  <c r="G360"/>
  <c r="G416"/>
  <c r="G412"/>
  <c r="G403"/>
  <c r="G397"/>
  <c r="G391"/>
  <c r="G389"/>
  <c r="G357"/>
  <c r="G355"/>
  <c r="G354"/>
  <c r="G353"/>
  <c r="H353" s="1"/>
  <c r="G351"/>
  <c r="G349"/>
  <c r="G348"/>
  <c r="G347"/>
  <c r="G346"/>
  <c r="G345"/>
  <c r="G343"/>
  <c r="G321"/>
  <c r="G314"/>
  <c r="G313"/>
  <c r="G309"/>
  <c r="G308"/>
  <c r="G305"/>
  <c r="G303"/>
  <c r="G301"/>
  <c r="G300"/>
  <c r="G299"/>
  <c r="G298"/>
  <c r="G297"/>
  <c r="G295"/>
  <c r="G294"/>
  <c r="G293"/>
  <c r="G292"/>
  <c r="G291"/>
  <c r="G290"/>
  <c r="G288"/>
  <c r="G287"/>
  <c r="G286"/>
  <c r="G285"/>
  <c r="G283"/>
  <c r="G282"/>
  <c r="G267"/>
  <c r="G261"/>
  <c r="G252"/>
  <c r="G248"/>
  <c r="H248" s="1"/>
  <c r="G247"/>
  <c r="G246"/>
  <c r="H246" s="1"/>
  <c r="G245"/>
  <c r="G243"/>
  <c r="G242"/>
  <c r="G241"/>
  <c r="G240"/>
  <c r="G239"/>
  <c r="G238"/>
  <c r="G237"/>
  <c r="G236"/>
  <c r="H236" s="1"/>
  <c r="G229"/>
  <c r="G227"/>
  <c r="G225"/>
  <c r="G223"/>
  <c r="G218"/>
  <c r="G216"/>
  <c r="G215"/>
  <c r="G214"/>
  <c r="G212"/>
  <c r="G211"/>
  <c r="G210"/>
  <c r="G383"/>
  <c r="G280"/>
  <c r="G194"/>
  <c r="G193"/>
  <c r="G189"/>
  <c r="G187"/>
  <c r="G195"/>
  <c r="G186"/>
  <c r="G185"/>
  <c r="G184"/>
  <c r="G183"/>
  <c r="G182"/>
  <c r="G178"/>
  <c r="G176"/>
  <c r="G175"/>
  <c r="G174"/>
  <c r="G173"/>
  <c r="G172"/>
  <c r="G171"/>
  <c r="G162"/>
  <c r="G154"/>
  <c r="G153"/>
  <c r="G152"/>
  <c r="G151"/>
  <c r="G150"/>
  <c r="G146"/>
  <c r="H146" s="1"/>
  <c r="G145"/>
  <c r="H145" s="1"/>
  <c r="G144"/>
  <c r="H144" s="1"/>
  <c r="G143"/>
  <c r="H143" s="1"/>
  <c r="G142"/>
  <c r="H142" s="1"/>
  <c r="G141"/>
  <c r="H141" s="1"/>
  <c r="G139"/>
  <c r="G138"/>
  <c r="E137"/>
  <c r="G137" s="1"/>
  <c r="G132"/>
  <c r="G131"/>
  <c r="G125"/>
  <c r="G123"/>
  <c r="G122"/>
  <c r="G121"/>
  <c r="G120"/>
  <c r="G119"/>
  <c r="G113"/>
  <c r="G112"/>
  <c r="G111"/>
  <c r="G110"/>
  <c r="G108"/>
  <c r="G106"/>
  <c r="G103"/>
  <c r="G102"/>
  <c r="G101"/>
  <c r="G100"/>
  <c r="E91"/>
  <c r="E92" s="1"/>
  <c r="G165"/>
  <c r="G167"/>
  <c r="G887"/>
  <c r="G169"/>
  <c r="H243"/>
  <c r="H247"/>
  <c r="G370"/>
  <c r="G905"/>
  <c r="G597"/>
  <c r="G914"/>
  <c r="G233"/>
  <c r="G410"/>
  <c r="H249"/>
  <c r="D74"/>
  <c r="F74" s="1"/>
  <c r="G744"/>
  <c r="G1276" l="1"/>
  <c r="I1297"/>
  <c r="F1297"/>
  <c r="G1297" s="1"/>
  <c r="E306"/>
  <c r="D63" s="1"/>
  <c r="F63" s="1"/>
  <c r="G1275"/>
  <c r="F1273"/>
  <c r="H147"/>
  <c r="H149" s="1"/>
  <c r="H136" s="1"/>
  <c r="H212"/>
  <c r="G1073"/>
  <c r="H354"/>
  <c r="H355"/>
  <c r="H391"/>
  <c r="H389" s="1"/>
  <c r="F981"/>
  <c r="G981" s="1"/>
  <c r="E405"/>
  <c r="G405" s="1"/>
  <c r="G163"/>
  <c r="H112"/>
  <c r="H165"/>
  <c r="F1358"/>
  <c r="G1358" s="1"/>
  <c r="H211"/>
  <c r="H240"/>
  <c r="H297"/>
  <c r="G443"/>
  <c r="H113"/>
  <c r="H108"/>
  <c r="H168"/>
  <c r="H164"/>
  <c r="H210"/>
  <c r="H241"/>
  <c r="G561"/>
  <c r="G1026"/>
  <c r="H244"/>
  <c r="F424"/>
  <c r="G424" s="1"/>
  <c r="F699"/>
  <c r="G699" s="1"/>
  <c r="G676"/>
  <c r="F860"/>
  <c r="G860" s="1"/>
  <c r="E78"/>
  <c r="F78" s="1"/>
  <c r="G270"/>
  <c r="H167"/>
  <c r="H238"/>
  <c r="H233" s="1"/>
  <c r="H169"/>
  <c r="H107"/>
  <c r="H110"/>
  <c r="G208"/>
  <c r="E374"/>
  <c r="G374" s="1"/>
  <c r="G310"/>
  <c r="G941"/>
  <c r="F1084"/>
  <c r="G1084" s="1"/>
  <c r="G1091"/>
  <c r="H111"/>
  <c r="G697"/>
  <c r="D69"/>
  <c r="F69" s="1"/>
  <c r="E365"/>
  <c r="G365" s="1"/>
  <c r="G970"/>
  <c r="G988"/>
  <c r="E81"/>
  <c r="F81" s="1"/>
  <c r="G932"/>
  <c r="F1008"/>
  <c r="G1008" s="1"/>
  <c r="G1273"/>
  <c r="G1322"/>
  <c r="I1295"/>
  <c r="F1295" s="1"/>
  <c r="G1295" s="1"/>
  <c r="G706"/>
  <c r="G867"/>
  <c r="G923"/>
  <c r="G1044"/>
  <c r="F1349"/>
  <c r="G1349" s="1"/>
  <c r="G1385"/>
  <c r="E80"/>
  <c r="F80" s="1"/>
  <c r="H208"/>
  <c r="H343"/>
  <c r="G306"/>
  <c r="F59"/>
  <c r="E77"/>
  <c r="F51"/>
  <c r="I211" l="1"/>
  <c r="H100"/>
  <c r="H163"/>
  <c r="I100"/>
  <c r="D84"/>
  <c r="G855"/>
  <c r="E82"/>
  <c r="F82" s="1"/>
  <c r="G418"/>
  <c r="E76"/>
  <c r="F76" s="1"/>
  <c r="F77"/>
  <c r="E84" l="1"/>
  <c r="F84" s="1"/>
</calcChain>
</file>

<file path=xl/sharedStrings.xml><?xml version="1.0" encoding="utf-8"?>
<sst xmlns="http://schemas.openxmlformats.org/spreadsheetml/2006/main" count="3214" uniqueCount="1076">
  <si>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</si>
  <si>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</si>
  <si>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</si>
  <si>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</si>
  <si>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</si>
  <si>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</si>
  <si>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</si>
  <si>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</si>
  <si>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</si>
  <si>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</si>
  <si>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</si>
  <si>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</si>
  <si>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</si>
  <si>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</si>
  <si>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</si>
  <si>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</si>
  <si>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</si>
  <si>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</si>
  <si>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</si>
  <si>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</si>
  <si>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</si>
  <si>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</si>
  <si>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</si>
  <si>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</si>
  <si>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</si>
  <si>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</si>
  <si>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</si>
  <si>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</si>
  <si>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</si>
  <si>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</si>
  <si>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</si>
  <si>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</si>
  <si>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</si>
  <si>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</si>
  <si>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</si>
  <si>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</si>
  <si>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</si>
  <si>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</si>
  <si>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</si>
  <si>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</si>
  <si>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</si>
  <si>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</si>
  <si>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</si>
  <si>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</si>
  <si>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</si>
  <si>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</si>
  <si>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</si>
  <si>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</si>
  <si>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</si>
  <si>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</si>
  <si>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</si>
  <si>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</si>
  <si>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</si>
  <si>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</si>
  <si>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</si>
  <si>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</si>
  <si>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</si>
  <si>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</si>
  <si>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</si>
  <si>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</si>
  <si>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</si>
  <si>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</si>
  <si>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</si>
  <si>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</si>
  <si>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</si>
  <si>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</si>
  <si>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</si>
  <si>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</si>
  <si>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</si>
  <si>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</si>
  <si>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</si>
  <si>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</si>
  <si>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</si>
  <si>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</si>
  <si>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</si>
  <si>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</si>
  <si>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</si>
  <si>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</si>
  <si>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</si>
  <si>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</si>
  <si>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</si>
  <si>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</si>
  <si>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</si>
  <si>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</si>
  <si>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</si>
  <si>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</si>
  <si>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</si>
  <si>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</si>
  <si>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</si>
  <si>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</si>
  <si>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</si>
  <si>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</si>
  <si>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</si>
  <si>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</si>
  <si>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</si>
  <si>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</si>
  <si>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</si>
  <si>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</si>
  <si>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</si>
  <si>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</si>
  <si>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</si>
  <si>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</si>
  <si>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</si>
  <si>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</si>
  <si>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</si>
  <si>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</si>
  <si>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</si>
  <si>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</si>
  <si>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</si>
  <si>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</si>
  <si>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</si>
  <si>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</si>
  <si>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– створення сприятливого для життєдіяльності людини довкілля, забезпечення санітарного та епідемічного благополуччя населення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</si>
  <si>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</si>
  <si>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</si>
  <si>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</si>
  <si>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</si>
  <si>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</si>
  <si>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</si>
  <si>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</si>
  <si>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</si>
  <si>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</si>
  <si>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</si>
  <si>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</si>
  <si>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Забезпечити санітарну очистку тротуарів, площ і скверів міста та знешкодження побутових відходів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</si>
  <si>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</si>
  <si>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</si>
  <si>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</si>
  <si>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</si>
  <si>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</si>
  <si>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</si>
  <si>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обсяг видатків на прибирання вулиць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</si>
  <si>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</si>
  <si>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</si>
  <si>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</si>
  <si>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</si>
  <si>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</si>
  <si>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тис. м2</t>
  </si>
  <si>
    <t>інвентаризація об’єктів благоустрою</t>
  </si>
  <si>
    <t>кількість колодязів, що потребують очистки</t>
  </si>
  <si>
    <t>кількість урн з яких вивозиться сміття</t>
  </si>
  <si>
    <t>шт.</t>
  </si>
  <si>
    <t>середньорічна кількість сміття, яку необхідно захоронити</t>
  </si>
  <si>
    <t>м3</t>
  </si>
  <si>
    <t>розрахунок</t>
  </si>
  <si>
    <t>шт</t>
  </si>
  <si>
    <t>Протяжність проїжджої частини доріг біля бордюрів, яку планується очистити вручну від нанесеного ґрунту</t>
  </si>
  <si>
    <t>10 м</t>
  </si>
  <si>
    <t>План робіт</t>
  </si>
  <si>
    <t>Площа асфальтобетонних, цементобетонних та оброблених в'яжучими матеріалами основ і покриттів, яку планується очистити від пилу та сухого сміття</t>
  </si>
  <si>
    <t>100 м2</t>
  </si>
  <si>
    <t>Кількість сміття, яке планується навантажити та вивезти на полігон ТПВ</t>
  </si>
  <si>
    <t>т</t>
  </si>
  <si>
    <t>середня вартість прибирання одного дощезбірного колодязя</t>
  </si>
  <si>
    <t>середня вартість захоронення (1 м3 ТПВ)</t>
  </si>
  <si>
    <t>середня вартість очищення 10 м проїжджої частини доріг від сміття</t>
  </si>
  <si>
    <t>Розрахунок</t>
  </si>
  <si>
    <t>середня вартість прибирання сміття з 1 урни</t>
  </si>
  <si>
    <t>середня вартість навантаження та вивезення 1т сміття</t>
  </si>
  <si>
    <t xml:space="preserve">очистки колодязів від загальної кількості </t>
  </si>
  <si>
    <t>%</t>
  </si>
  <si>
    <t>площа прибирання міста від загальної площі</t>
  </si>
  <si>
    <t>обсяг видатків на поточний дрібний та середній ремонт доріг та мостів</t>
  </si>
  <si>
    <t>Кошторис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</si>
  <si>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</si>
  <si>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</si>
  <si>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</si>
  <si>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</si>
  <si>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тис.м2</t>
  </si>
  <si>
    <t>загальна протяжність доріг з асфальто-бетонним покриттям місцевого значення</t>
  </si>
  <si>
    <t>площа доріг, на якій планується провести влаштування основи доріг щебеневих</t>
  </si>
  <si>
    <t>м2</t>
  </si>
  <si>
    <t>площа щебеневих доріг, на якій планується провести влаштування виправлення профілю основи вулиць  без  додавання матеріалу</t>
  </si>
  <si>
    <t xml:space="preserve">площа доріг, на яких планується провести ямковий ремонт із забиванням тріщин та просадок асфальтобетонного покриття струменевим методом </t>
  </si>
  <si>
    <t xml:space="preserve">площа доріг, на яких планується провести поточний ремонт з асфальтобетонним покриттям </t>
  </si>
  <si>
    <t>м</t>
  </si>
  <si>
    <t>кількість дощових колодязів, які планується відновити</t>
  </si>
  <si>
    <t>площа відремонтованих доріг до загальної площі доріг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</si>
  <si>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</si>
  <si>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</si>
  <si>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</si>
  <si>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</si>
  <si>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встановлення грат і монтаж огорож</t>
  </si>
  <si>
    <t>-        технічне обслуговування світлофорів</t>
  </si>
  <si>
    <t>-        ремонт світлофорів</t>
  </si>
  <si>
    <t>кількість світлофорних об'єктів, на яких планується провести ремонт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</si>
  <si>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</si>
  <si>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</si>
  <si>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</si>
  <si>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кількість дорожніх знаків, які планується відремонтувати</t>
  </si>
  <si>
    <t>площа огороджень, які планується встановити</t>
  </si>
  <si>
    <t xml:space="preserve">середня вартість ремонту одного світлофорного об'єкта </t>
  </si>
  <si>
    <t>середня вартість технічного обслуговування і поточного ремонту одного світлофорного об'єкта в місяць</t>
  </si>
  <si>
    <t xml:space="preserve">середня вартість нанесення 1 м2 дорожньої розмітки </t>
  </si>
  <si>
    <t>середня вартість одного дорожнього знаку із встановленням</t>
  </si>
  <si>
    <t>середня вартість ремонту 1 дорожнього знаку</t>
  </si>
  <si>
    <t>кількість діючих світлофорних об'єктів до загальної кількості</t>
  </si>
  <si>
    <t>частка світлофорних об'єктів на яких планується провести ремонт до загальної кількості</t>
  </si>
  <si>
    <t>темп збільшення  кількості встановлених  дорожніх знаків в порівнянні з попереднім роком</t>
  </si>
  <si>
    <t>обсяги бюджетних призначень</t>
  </si>
  <si>
    <t>кількість безпритульних тварин, які планується утримувати</t>
  </si>
  <si>
    <t>кількість безпритульних тварин, яких планується відловити</t>
  </si>
  <si>
    <t>середня вартість утримання однієї безпритульної тварини в притулку</t>
  </si>
  <si>
    <t xml:space="preserve">калькуляція </t>
  </si>
  <si>
    <t xml:space="preserve">середня вартість відлову 1 тварини </t>
  </si>
  <si>
    <t>відсоток збільшення стерилізації бродячих тварин в порівняні з минулим роком</t>
  </si>
  <si>
    <t>обсяги видатків на утримання кладовищ</t>
  </si>
  <si>
    <t>загальна площа кладовищ</t>
  </si>
  <si>
    <t>га</t>
  </si>
  <si>
    <t>КП «КМРС»</t>
  </si>
  <si>
    <t>площа кладовищ, благоустрій на яких планується здійснювати</t>
  </si>
  <si>
    <t>середня вартість утримання 1 га кладовища в місяць</t>
  </si>
  <si>
    <t>питома вага площі кладовища, благоустрій яких планується влаштувати до загальної площі</t>
  </si>
  <si>
    <t>площа квітників, за якими планується проводити догляд</t>
  </si>
  <si>
    <t>м²</t>
  </si>
  <si>
    <t>площа газонів, яку планується влаштувати</t>
  </si>
  <si>
    <t>площа газонів, на якій планується посадити квіти</t>
  </si>
  <si>
    <t>площа території, яку планується очистити від листя, гілок, порубаних решток та сміття</t>
  </si>
  <si>
    <t>кількість дерев , за якими проводиться догляд</t>
  </si>
  <si>
    <t>кількість живоплоту, який планується стригти  механізованим способом, включаючи очищення ділянки від сміття і вивезення сміття</t>
  </si>
  <si>
    <t>кількість дерев з оголеною кореневою системою, які планується посадити (із вартістю саджанців)</t>
  </si>
  <si>
    <t>обприскування та обпилювання отрутохімікатами</t>
  </si>
  <si>
    <t>середня вартість формувальної обрізки одного дерева</t>
  </si>
  <si>
    <t>середня вартість викорчовування 1 пня</t>
  </si>
  <si>
    <t>середня вартість догляду за 1м² квітника</t>
  </si>
  <si>
    <t>середня вартість влаштування 1 м² газону</t>
  </si>
  <si>
    <t>середня вартість садіння 1 м² квітів (із вартістю посадкового матеріалу)</t>
  </si>
  <si>
    <t>середня вартість очищення 1 м2 ділянки від сміття</t>
  </si>
  <si>
    <t>середня вартість стрижки 1 м² живоплоту механізованим способом</t>
  </si>
  <si>
    <t xml:space="preserve">середня вартість догляду за 1 деревом (кущем) </t>
  </si>
  <si>
    <t>середня вартість обприскування та обпилювання отрутохімікатами</t>
  </si>
  <si>
    <t>середня вартість захоронення рештків  трав, дерев та листя</t>
  </si>
  <si>
    <t>відсоток збільшення видатків на проведення озеленення в порівнянні з попереднім роком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</si>
  <si>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</si>
  <si>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</si>
  <si>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</si>
  <si>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заготовленої протиожеледної піщано-соляної суміші необхідної для підсипання доріг і тротуарів у співвідношенні:</t>
  </si>
  <si>
    <t>дані по підготовці до осінньо-зимового періоду</t>
  </si>
  <si>
    <t xml:space="preserve">          - 88 х 12</t>
  </si>
  <si>
    <t xml:space="preserve">          - 80 х 20</t>
  </si>
  <si>
    <t xml:space="preserve">          - 70 х 30</t>
  </si>
  <si>
    <t>площа тротуарів, що планується утримувати в належному стані</t>
  </si>
  <si>
    <t>інвентаризація об'єктів благоустрою</t>
  </si>
  <si>
    <t>середня вартість очищення 1 км проїжджої частини дороги від снігу, який злежався, товщиною до 0,3 м трактором на пневноколісному ходу з відвалом</t>
  </si>
  <si>
    <t>середня вартість очищення 1 км проїжджої частини від снігу, який щойно випав,  трактором на пневноколісному ходу з відвалом</t>
  </si>
  <si>
    <t>середня вартість очищення 1 км проїжджої частини дороги від снігу, який щойно випав, автогрейдером середнього класу</t>
  </si>
  <si>
    <t>середня вартість очищення 1 км дорожнього покриття від снігу, який щойно випав, товщина шару снігу до 0,1 м автомобілем з навісною лопатою</t>
  </si>
  <si>
    <t>середня вартість чищення проїжджої частини дороги від снігу, який злежався, товщиною до 0,3 м автогрейдером середнього класу</t>
  </si>
  <si>
    <t>середня вартість механізованого розподілення протиожеледних матеріалів по дорожньому покритті автомобілем-піскорозкидувачем з відповідним обладнанням на 1 м2</t>
  </si>
  <si>
    <t>співвідношення 88:12</t>
  </si>
  <si>
    <t>співвідношення 80:20</t>
  </si>
  <si>
    <t>співвідношення 70:30</t>
  </si>
  <si>
    <t>середня вартість очищення 1 км тротуару від снігу трактором на пневмоколісному ходу з відвалом</t>
  </si>
  <si>
    <t>середня вартість 1 год. чергування робітника при зимовому утриманні доріг</t>
  </si>
  <si>
    <t>розрахунок діючої ціни до попередньої</t>
  </si>
  <si>
    <t>кількість світлових точок</t>
  </si>
  <si>
    <t>Кількість приладів обліку електроенергії, які планується обслуговувати</t>
  </si>
  <si>
    <t>загальна протяжність освітлювальних мереж</t>
  </si>
  <si>
    <t>км.</t>
  </si>
  <si>
    <t>Середня вартість обслуговування 1 приладу обліку електричної енергії</t>
  </si>
  <si>
    <t>середня вартість технічного утримання 1км  мереж вуличного освітлення</t>
  </si>
  <si>
    <t>відсоток лічильників, які обслуговуються</t>
  </si>
  <si>
    <t>кількість автобусних зупинок, на яких потрібно провести поточний ремонт</t>
  </si>
  <si>
    <t>кількість урн, які необхідно встановити</t>
  </si>
  <si>
    <t>середня вартість ремонту 1 автобусної зупинки</t>
  </si>
  <si>
    <t>середня вартість встановлення 1 урни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</si>
  <si>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</si>
  <si>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</si>
  <si>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</si>
  <si>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</si>
  <si>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кількість святкових заходів біля ялинки в Новий рік</t>
  </si>
  <si>
    <t>план святкування новорічних свят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</si>
  <si>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</si>
  <si>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</si>
  <si>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кошторис видатків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</si>
  <si>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</si>
  <si>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</si>
  <si>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</si>
  <si>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</si>
  <si>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</si>
  <si>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</si>
  <si>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Кількість дитячих та спортивних майданчиків, які планується ремонтувати </t>
  </si>
  <si>
    <t>середня вартість проведення ремонту 1 майданчика</t>
  </si>
  <si>
    <t>Кількість заходів по благоустрою скверів, які планується проводити</t>
  </si>
  <si>
    <t>середня вартість проведення 1 заходу по благоустрою скверів</t>
  </si>
  <si>
    <t xml:space="preserve">Забезпечити проведення робіт з капітального ремонту </t>
  </si>
  <si>
    <t>Кошторис видатків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</si>
  <si>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</si>
  <si>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площа дорожнього покриття вул.Косівської , де планується провести капітальний ремонт</t>
  </si>
  <si>
    <t>площа дорожнього покриття вул.Лисенка (заїзд до ЗОШ №2 та ДНЗ№11), де проводиться капітальний ремонт в м.Коломиї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</si>
  <si>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дороги по вул. вул. Лисенка (заїзд до ЗОШ №2 та ДНЗ№11) в м.Коломиї</t>
    </r>
  </si>
  <si>
    <t>площа дорожнього покриття вул.Вітовського 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</si>
  <si>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вул.Вітовського</t>
    </r>
  </si>
  <si>
    <t xml:space="preserve">відсоток виконання завдання по капітальному ремонту дорожнього покриття вул.Вітовського в м.Коломиї </t>
  </si>
  <si>
    <t>площа вул. Трильовського,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</si>
  <si>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вул.Трильовського в м.Коломиї</t>
    </r>
  </si>
  <si>
    <t>відсоток виконання завдання по капітальному ремонту вул.Трильовського</t>
  </si>
  <si>
    <t>середня вартість виготовлення 1 проекту на капітальний ремонт вул.Довбуша</t>
  </si>
  <si>
    <t>площа тротуарів  по вул.Пекарській, де планується провести капітальний ремонт</t>
  </si>
  <si>
    <t>відсоток виконання завдання по капітальному ремонту тротуарів по вул.Пекарській в м.Коломиї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</si>
  <si>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 міжквартальних проїздів  по вул. Бандери, 51а та вул.Палія, 20 </t>
    </r>
  </si>
  <si>
    <t>відсоток виконання завдання по капітальному ремонту міжквартальних проїздів по вул. Бандери, 51а та вул.Палія, 20 в м.Коломиї</t>
  </si>
  <si>
    <t xml:space="preserve"> площа покриття міжквартальних проїздів по вул. Леонтовича, 18, 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</si>
  <si>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по вул.Леонтовича, 18</t>
    </r>
  </si>
  <si>
    <t>відсоток виконання завдання по капітальному ремонту міжквартальних проїздів по вул.Леонтовича, 18 в м.Коломиї</t>
  </si>
  <si>
    <t>Обсяг видатків на капітальний ремонт міжквартальних проїздів  по вул.вул. Хмельницького, 1, 1а</t>
  </si>
  <si>
    <t xml:space="preserve"> площа покриття міжквартальних проїздів по вул.Хмельницького, 1, 1а,  де  планується провести капітальний ремонт </t>
  </si>
  <si>
    <t>відсоток виконання завдання по капітальному ремонту міжквартальних проїздів  по вул. Хмельницького, 1, 1а в м.Коломиї</t>
  </si>
  <si>
    <t>Обсяг видатків на капітальний ремонт міжквартальних проїздів  по вул.Леонтовича, 2, 4, 6</t>
  </si>
  <si>
    <t xml:space="preserve"> площа покриття міжквартальних проїздів вул.Леонтовича, 2,, 4, 6,  де  планується провести капітальний ремонт </t>
  </si>
  <si>
    <t>відсоток виконання завдання по капітальному ремонту міжквартальних проїздів  по вул.Леонтовича, 2, 4, 6 в м.Коломиї</t>
  </si>
  <si>
    <t>Обсяг видатків на капітальний ремонт міжквартальних проїздів по вул.Леонтовича, 20,24,26</t>
  </si>
  <si>
    <t xml:space="preserve"> площа покриття міжквартальних проїздів  по вул.Леонтовича, 20, 24, 26 де  планується провести капітальний ремонт </t>
  </si>
  <si>
    <t>відсоток виконання завдання по капітальному ремонту міжквартальних проїздів  по вул.Леонтовича, 20, 24, 26</t>
  </si>
  <si>
    <t>Обсяг видатків на капітальний ремонт міжквартальних проїздів вул. Чайковського, 38,46,48</t>
  </si>
  <si>
    <t>площа покриття міжквартальних проїздів проїздів  вул. Чайковського 38, 46,48 де 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</si>
  <si>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вул.Чайковського 38,46,48</t>
    </r>
  </si>
  <si>
    <t>відсоток виконання завдання по капітальному ремонту міжквартальних проїздіввул.Чайковського 38,46,48</t>
  </si>
  <si>
    <t>Обсяг видатків на капітальний ремонт міжквартальних проїздів вул. Чайковського, 34,36,44</t>
  </si>
  <si>
    <t>площа покриття міжквартальних проїздів проїздів  вул. Чайковського34,36,44 де 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</si>
  <si>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вул. Чайковського, 34,36,44</t>
    </r>
  </si>
  <si>
    <t>відсоток виконання завдання по капітальному ремонту міжквартальних проїздів вул. Чайковського, 34,36,44</t>
  </si>
  <si>
    <t>Обсяг видатків на капітальний ремонт міжквартальних проїздів по вул.Пекарська, 8</t>
  </si>
  <si>
    <t xml:space="preserve"> площа покриття міжквартальних проїздів по вул.Пекарська,  8,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</si>
  <si>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по вул.Пекарська, 8</t>
    </r>
  </si>
  <si>
    <t>відсоток виконання завдання по капітальному ремонту міжквартальних проїздів  по вул.Пекарська,8</t>
  </si>
  <si>
    <t>Обсяг видатків на капітальний ремонт міжквартальних проїздів по вул. Лисенка, 10</t>
  </si>
  <si>
    <t>площа покриття міжквартальних проїздів по вул. Лисенка,10,  де 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</si>
  <si>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 міжквартальних проїздів по вул. Лисенка, 10</t>
    </r>
  </si>
  <si>
    <t>відсоток виконання завдання по капітальному ремонту міжквартальних проїздів по вул. Лисенка, 10</t>
  </si>
  <si>
    <t>Обсяг видатків на капітальний ремонт міжквартальних проїздів по  вул.Січових Стрільців, 23, 25 та вул. Лисенка, 1</t>
  </si>
  <si>
    <t xml:space="preserve"> площа покриття міжквартальних проїздів по вул.Січових Стрільців, 23, 25 та вул. Лисенка, 1, де  планується провести капітальний ремонт </t>
  </si>
  <si>
    <t>відсоток виконання завдання по капітальному ремонту міжквартальних проїздів  по вул.Січових Стрільців, 23, 25 та вул. Лисенка, 1</t>
  </si>
  <si>
    <t>Обсяг видатків на капітальний ремонт міжквартальних проїздів по вул. Леонтовича</t>
  </si>
  <si>
    <t xml:space="preserve">площа покриття міжквартальних проїздів по вул.Леонтовича, 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</si>
  <si>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по вул.Леонтовича</t>
    </r>
  </si>
  <si>
    <t>відсоток виконання завдання по капітальному ремонту міжквартальних проїздів по вул. Леонтовича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</si>
  <si>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міжквартальних проїздів по пл.Привокзальній 5,6</t>
    </r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</si>
  <si>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міжквартальних проїздів по пл.Привокзальній, 12</t>
    </r>
  </si>
  <si>
    <t>Обсяг видатків на капітальний ремонт дитячого майданчика  по вул.Квітковій в м.Коломиї</t>
  </si>
  <si>
    <t>Обсяг видатків на капітальний ремонт спортивного майданчика  по вул.Достоєвського в м.Коломиї</t>
  </si>
  <si>
    <t>Обсяг видатків на капітальний ремонт спортивного майданчика   по вул.Лисенка, 32 в м.Коломиї</t>
  </si>
  <si>
    <t xml:space="preserve">кількість спортивних майданчиків, на яких планується провести капітальний ремонт </t>
  </si>
  <si>
    <t xml:space="preserve">середня вартість капітального ремонту 1 спортивного майданчика </t>
  </si>
  <si>
    <t xml:space="preserve">середня вартість капітального ремонту 1 дитячого майданчика </t>
  </si>
  <si>
    <t xml:space="preserve">відсоток виконання завдання по капітальному ремонту спортивних майданчиків </t>
  </si>
  <si>
    <t>відсоток виконання завдання по капітальному ремонту дитячих майданчиків</t>
  </si>
  <si>
    <t>Обсяг видатків на капітальний ремонт автобусної зупинки по вул.Довбуша, 315 в м.Коломиї</t>
  </si>
  <si>
    <t>Обсяг видатків на капітальний ремонт автобусної зупинки по вул.Франка, 40 в м.Коломиї</t>
  </si>
  <si>
    <t xml:space="preserve">кількість зупинок по вул.Франка, 40 , на яких планується проведення капітального ремонту </t>
  </si>
  <si>
    <t>середня вартість капітального ремонту 1 зупинки по вул. Довбуша, 315</t>
  </si>
  <si>
    <t>середня вартість капітального ремонту 1 зупинки по вул. Франка,40</t>
  </si>
  <si>
    <t>Обсяг видатків на проведення капітального ремонту вуличного освітлення по вул.Пекарській</t>
  </si>
  <si>
    <t>протяжність мережі вуличного освітлення в по вул.Пекарській,  де  планується провести капітальний ремонт</t>
  </si>
  <si>
    <t>відсоток завершеності капітального ремонту  мереж вуличного освітлення по вул.Пекарській</t>
  </si>
  <si>
    <t>Обсяг видатків на капітальний ремонт вуличного освітлення с.Товмачик</t>
  </si>
  <si>
    <t>рішення міської ради</t>
  </si>
  <si>
    <t>Протяжність мережі вуличного освітлення с.Товмачик,  де  планується провести капітальний ремонт</t>
  </si>
  <si>
    <t>відсоток виконання завдання по капітальному ремонту вуличного освітлення с.Товмачик</t>
  </si>
  <si>
    <t>Обсяг видатків на капітальний ремонт мереж вуличного освітлення  с.Іванівці</t>
  </si>
  <si>
    <t>відсоток виконання завдання по капітальному ремонту мереж вуличного освітлення  с. Іванівці</t>
  </si>
  <si>
    <t>Обсяг видатків на капітальний ремонт вуличного освітлення с.Воскресинці</t>
  </si>
  <si>
    <t>Протяжність мережі вуличного освітлення с.Воскресинці,  де  планується провести капітальний ремонт</t>
  </si>
  <si>
    <t>відсоток виконання завдання по капітальному ремонту вуличного освітлення с. Воскресинці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</si>
  <si>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</si>
  <si>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</si>
  <si>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</si>
  <si>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кладовищ та меморіальних комплексів</t>
  </si>
  <si>
    <t>Утримання об`єктів зеленого господарства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</si>
  <si>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</si>
  <si>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</si>
  <si>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</si>
  <si>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1.1. Забезпечити санітарну очистку тротуарів, площ і скверів міста та знешкодження побутових відходів</t>
  </si>
  <si>
    <t>2.2. Забезпечити організацію та безпеку дорожнього руху</t>
  </si>
  <si>
    <t>3.1. Забезпечити ловіння бродячих тварин та їх утримання</t>
  </si>
  <si>
    <t>4.1. Забезпечити утримання кладовищ - освітлення прибирання, вивезення сміття, зрізування самосійних дерев</t>
  </si>
  <si>
    <t xml:space="preserve"> 5.1. Забезпечити озеленення міста</t>
  </si>
  <si>
    <t>6.2. Забезпечити утримання мереж вуличного освітлення</t>
  </si>
  <si>
    <t xml:space="preserve"> 7.1. Встановлення, демонтаж Новорічної ялинки та влаштування святкової ілюмінації</t>
  </si>
  <si>
    <t>8.2. Забезпечити оплату судового збору</t>
  </si>
  <si>
    <t xml:space="preserve">9.1.Провести капітальний ремонт вулиць </t>
  </si>
  <si>
    <t>9.2.2.Провести капітальний ремонт тротуарів по вул.Пекарській в м.Коломиї</t>
  </si>
  <si>
    <t xml:space="preserve"> 9.4.Провести капітальний ремонт каналізаційних мереж</t>
  </si>
  <si>
    <t>9.5. Провести капітальний ремонт майданчиків</t>
  </si>
  <si>
    <t>9.6. Провести капітальний ремонт зупинок міста</t>
  </si>
  <si>
    <t>9.7.Провести капітальний ремонт мереж зовнішнього освітлення</t>
  </si>
  <si>
    <t>2.1.Провести поточний ремонт дорожнього покриття, в тому числі міжквартальних проїздів</t>
  </si>
  <si>
    <t xml:space="preserve">2.2.Забезпечити організацію та безпеку дорожнього руху </t>
  </si>
  <si>
    <t>3.1.Забезпечити ловіння бродячих тварин та їх утримання</t>
  </si>
  <si>
    <t>4.1.Забезпечити утримання міських кладовищ: освітлення прибирання, вивезення сміття, зрізування самосійних дерев</t>
  </si>
  <si>
    <t>5.1.Забезпечити озеленення міста</t>
  </si>
  <si>
    <t>6.2.Забезпечити утримання мереж вуличного освітлення</t>
  </si>
  <si>
    <t>7.1.Встановлення, демонтаж Новорічної ялинки та влаштування святкової ілюмінації</t>
  </si>
  <si>
    <t>8.1.Забезпечити оплату за видачу сертифікатів готовності об`єктів до експлуатації по будівництву каналізаційних мереж</t>
  </si>
  <si>
    <t>8.2.Забезпечити сплату судового збору</t>
  </si>
  <si>
    <t>9.1.Провести капітальний ремонт вулиць міста</t>
  </si>
  <si>
    <t>9.2.Провести капітальний ремонт тротуарів міста</t>
  </si>
  <si>
    <t>9.3.Провести капітальний ремонт міжквартальних проїздів міста</t>
  </si>
  <si>
    <t>9.6.Провести капітальний ремонт автобусних зупинок</t>
  </si>
  <si>
    <t>9.5.Провести капітальний ремонт дитячих та спортивних майданчиків</t>
  </si>
  <si>
    <t xml:space="preserve">9.4.Провести капітальний ремонт каналізаційних мереж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</si>
  <si>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 по вул.Пекарській</t>
    </r>
  </si>
  <si>
    <t>відсоток виконання завдання по капітальному ремонту тротуарів біля будинків №24,26 по вул.Леонтовича в м.Коломиї</t>
  </si>
  <si>
    <t xml:space="preserve">площа дорожнього покриття міжквартальних проїздів пл..Привокзальної, 12, де  планується провести капітальний ремонт </t>
  </si>
  <si>
    <t>площа дорожнього покриття міжквартальних проїздів пл..Привокзальної 5,6  де  планується провести капітальний ремонт</t>
  </si>
  <si>
    <t>0620</t>
  </si>
  <si>
    <t xml:space="preserve">Обсяг видатків на капітальний ремонт тротуару  по вул.Довбуша в м.Коломиї </t>
  </si>
  <si>
    <t xml:space="preserve">площа тротуару  по вул.Довбуша, де  планується провести капітальний ремонт </t>
  </si>
  <si>
    <t>середня вартість капітального ремонту 1 м2 тротуару  по вул.Довбуша</t>
  </si>
  <si>
    <t>відсоток виконання завдання по капітальному ремонту тротуару  по вул.Довбуша</t>
  </si>
  <si>
    <t>площа тротуарного покриття по вул.Стефаника,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</si>
  <si>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тротуарного покриття по вул.Стефаника</t>
    </r>
  </si>
  <si>
    <t>відсоток виконання завдання по капітальному ремонту тротуарів по  вул.Стефаника в м.Коломиї</t>
  </si>
  <si>
    <t>Обсяг видатків на капітальний ремонт міжквартальних проїздів по вул.Сахарова</t>
  </si>
  <si>
    <t xml:space="preserve">площа покриття міжквартальних проїздів по вул.Сахарова, 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</si>
  <si>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по вул.Сахарова</t>
    </r>
  </si>
  <si>
    <t>відсоток виконання завдання по капітальному ремонту міжквартальних проїздів по вул.Сахарова</t>
  </si>
  <si>
    <t>площа тротуарів  міжквартальних проїздів по вулБогуна, де  планується провести капітальний ремонт міжквартальних проїздів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</si>
  <si>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тротуарів  міжквартальних проїздів по вулБогуна</t>
    </r>
  </si>
  <si>
    <t>Обсяг видатків на капітальний ремонт дитячого майданчика біля будинку №213 по вул.Франка</t>
  </si>
  <si>
    <t>Обсяг видатків на капітальний ремонт спортивного майданчика по вул.Січинського</t>
  </si>
  <si>
    <t>Обсяг видатків на капітальний ремонт дитячого майданчика  по вул.Опришківській</t>
  </si>
  <si>
    <t xml:space="preserve">   9.3.Провести капітальний ремонт міжквартальних проїздів</t>
  </si>
  <si>
    <t>площа тротуарного покриття  по вул. Павлика,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</si>
  <si>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 по  вул. Павлика</t>
    </r>
  </si>
  <si>
    <t>відсоток виконання завдання по капітальному ремонту тротуару по  вул. Павлика в м.Коломиї</t>
  </si>
  <si>
    <t>площа тротуарів, на яких планується провести поточний ремонт</t>
  </si>
  <si>
    <t>середня вартість відновлення  1 дощеприймального колодязя</t>
  </si>
  <si>
    <t>середня вартість встановлення 1 металевого стовпчика</t>
  </si>
  <si>
    <t>кількість стовпчиків металевих, які планується встановити</t>
  </si>
  <si>
    <t>протяжність підвісних огорож, яку планується встановити (ремонтувати)</t>
  </si>
  <si>
    <t>середня вартість встановлення (ремонту) 1 м підвісної огорожі</t>
  </si>
  <si>
    <t>захоронення рештків  трав, дерев та листя</t>
  </si>
  <si>
    <t>кількість дерев, які планується видалити у важкодоступних місцях</t>
  </si>
  <si>
    <t>середня вартість видалення 1 дерева у важкодоступних місцях</t>
  </si>
  <si>
    <t>кількість дерев, де планується провести формувальну обрізку, включаючи очищення ділянки від сміття і вивезення сміття</t>
  </si>
  <si>
    <t>кількість аварійних дерев, які планується видалити (звалювати)</t>
  </si>
  <si>
    <t>середня вартість видалення (звалювання) 1 м³ аварійних дерев</t>
  </si>
  <si>
    <t>кількість пнів, які планується викорчувати , включаючи очищення ділянки від сміття і вивезення сміття</t>
  </si>
  <si>
    <t>середня вартість викошування 1м² теритої</t>
  </si>
  <si>
    <t>площа ділянок, які будуть викошені від трави</t>
  </si>
  <si>
    <t>середня вартість посадки 1 дерева</t>
  </si>
  <si>
    <t>100 м3</t>
  </si>
  <si>
    <t>Вартість піщано-соляної суміші:      (100 м3)</t>
  </si>
  <si>
    <t>середня вартість навантаження 1 м3 протиожеледного матеріалу</t>
  </si>
  <si>
    <t>середня вартість перевезення 1 т снігу</t>
  </si>
  <si>
    <t>відсоток дорожноьої мережі, яка утримується в зимовий період в належному стані</t>
  </si>
  <si>
    <t>середня вартість встановлення 1 вуличної (адресної) таблички (вказівника)</t>
  </si>
  <si>
    <t>протяжність вулиць, по яких планується виготовити технічні паспорти вулиць міста</t>
  </si>
  <si>
    <t>середня вартість виготовлення технічного паспорту на 1 км вулиці</t>
  </si>
  <si>
    <t xml:space="preserve">середня вартість поточного ремонту 1 м2 тротуару </t>
  </si>
  <si>
    <t>кількість вуличних (адресних) вказівних табличок (знаків), які планується встановити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</si>
  <si>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</si>
  <si>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</si>
  <si>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влаштування (ремонту)1 лавки у місцях масового відпочинку</t>
  </si>
  <si>
    <t>кількість лавок, які необхідно встановити (відремонтувати) в місцях масового відпочинку</t>
  </si>
  <si>
    <t xml:space="preserve">  </t>
  </si>
  <si>
    <t xml:space="preserve">площа міжквартальних проїздів біля будинку №22 по  вул.Леонтовича,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</si>
  <si>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міжквартальних проїздів біля будинку №22 по вул.Леонтовича</t>
    </r>
  </si>
  <si>
    <t xml:space="preserve">площа дорожнього покриття біля будинку №20 по  вул.Леонтовича,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</si>
  <si>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біля будинку №20 по вул.Леонтовича</t>
    </r>
  </si>
  <si>
    <t>площа вул. Трильовського від буд.№54 до автодорожнього моста, де планується провести капітальний ремонт</t>
  </si>
  <si>
    <t>9.8.Провести капітальний ремонт інших об'єктів благоустрою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</si>
  <si>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вул.Трильовського від буд.№54 до автодорожнього моста </t>
    </r>
  </si>
  <si>
    <t xml:space="preserve">площа тротуару біля будинку №18 по вул.Леонтовича, де  планується провести капітальний ремонт </t>
  </si>
  <si>
    <t>середня вартість капітального ремонту 1 м2 тротуару біля будинку №18 по вул.Леонтовича</t>
  </si>
  <si>
    <t>площа дорожнього покриття вул. Трильовського від  автодорожнього моста до вул. Довбуша,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</si>
  <si>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вул.Трильовського від  автодорожнього моста до вул. Довбуша</t>
    </r>
  </si>
  <si>
    <t xml:space="preserve"> - встановлення засобів обмеження руху автотранспорту</t>
  </si>
  <si>
    <t>кількість засобів обмеження руху автотранспорту, які планується встановити</t>
  </si>
  <si>
    <t>середня вартість одного засобу обмеження руху автотранспорту ,із встановленням</t>
  </si>
  <si>
    <t>9.2.1.Провести капітальний ремонт тротуарів біля будинків №20-30 по вул.Богуна в м.Коломиї</t>
  </si>
  <si>
    <t>площа тротуарів біля будинків №20-30 по вул.Богуна,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</si>
  <si>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тротуарів біля будинків №20-30 по вул.Богуна в м.Коломиї</t>
    </r>
  </si>
  <si>
    <t>кількість робочих проектів, необхідних для виконання капітального ремонту  міжквартальних проїздів біля будинків №54,56  по  вул. Чайковського</t>
  </si>
  <si>
    <t>середня вартість виготовлення 1 проекту на капітальний ремонт  міжквартальних проїздів біля будинків №54,56  по. вул. Чайковського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</si>
  <si>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міжквартальних проїздів по  по  вул.Богуна,26,28,30,32</t>
    </r>
  </si>
  <si>
    <t>площа   міжквартальних проїздів по    вул.Богуна,26,28,30,32, де  планується провести капітальний ремонт міжквартальних проїздів</t>
  </si>
  <si>
    <t>площа   міжквартальних проїздів по  пл.Привокзальній , 3 де  планується провести капітальний ремонт міжквартальних проїздів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</si>
  <si>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міжквартальних проїздів по  пл.Привокзальній , 3</t>
    </r>
  </si>
  <si>
    <t>площа   міжквартальних проїздів по  пл.Привокзальній , 4 де  планується провести капітальний ремонт міжквартальних проїздів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</si>
  <si>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міжквартальних проїздів по  пл.Привокзальній , 4</t>
    </r>
  </si>
  <si>
    <t>площа   міжквартальних проїздів по   вул.Мазепи , 236,250,268,274 де  планується провести капітальний ремонт міжквартальних проїздів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</si>
  <si>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 міжквартальних проїздів по   вул.Мазепи , 236,250,268,274</t>
    </r>
  </si>
  <si>
    <t>Обсяг видатків на капітальний ремонт мереж вуличного освітлення  в с.Саджавка</t>
  </si>
  <si>
    <t>протяжність мережі вуличного освітлення в  в с.Саджавка,  де  планується провести капітальний ремонт</t>
  </si>
  <si>
    <t>відсоток виконання завдання по капітальному ремонту мереж вуличного освітлення   в с.Саджавка</t>
  </si>
  <si>
    <t>9.7.8.Провести капітальний ремонт мереж вуличного освітлення в  с. Саджавка</t>
  </si>
  <si>
    <t>секція</t>
  </si>
  <si>
    <t>середня вартість встановлення 1 секції огородження</t>
  </si>
  <si>
    <t>09530000000</t>
  </si>
  <si>
    <t>протяжність мережі дощової каналізації, яку планується відремонтувати</t>
  </si>
  <si>
    <t>середня вартість ремонту 1 м мережі дощової каналізації</t>
  </si>
  <si>
    <t xml:space="preserve">середня вартість ремонту 1 м²  основ доріг щебеневих </t>
  </si>
  <si>
    <t>середня вартість виправлення 1 м²  профілю основи щебеневих доріг без додавання матеріалу</t>
  </si>
  <si>
    <t>середня вартість ямкового ремонту 1 м2  із забиванням тріщин та просадок асфальтобетонного покриття струменевим методом</t>
  </si>
  <si>
    <t xml:space="preserve">середня вартість проведення ремонту 1 м2 дороги асфальтобетоном  </t>
  </si>
  <si>
    <t xml:space="preserve">площа тротуару  по вул.Костомарова, де  планується провести капітальний ремонт </t>
  </si>
  <si>
    <t>середня вартість капітального ремонту 1 м2 тротуару  по вул.Костомарова</t>
  </si>
  <si>
    <t>кількість скверів на яких планується провести капітальний ремонт з встановленням дитячого майданчика</t>
  </si>
  <si>
    <t>середня вартість капітального ремонту скверу з встановленням дитячого майданчика</t>
  </si>
  <si>
    <t>2.1.Поточний ремонт дорожнього покриття</t>
  </si>
  <si>
    <t>Програма  «Благоустрій міста Коломиї на 2021-2025 роки»</t>
  </si>
  <si>
    <r>
      <t xml:space="preserve">бюджетної програми місцевого бюджету на   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 xml:space="preserve"> рік</t>
    </r>
  </si>
  <si>
    <t>площа газонів, яка буде викошена механізованим способом глибиною 1,5-2м , включаючи очищення ділянки від сміття і вивезення сміття</t>
  </si>
  <si>
    <t>технічне завдання</t>
  </si>
  <si>
    <t>середня вартість викошування 1м²  важкодоступних ділянок механізованим способом глибиною 1,5-2м</t>
  </si>
  <si>
    <t>8.1.Забезпечити оплату за видачу сертифікатів готовності об`єктів до експлуатації</t>
  </si>
  <si>
    <t xml:space="preserve">Кількість сертифікатів готовності об`єктів до експлуатації, які планується отримати </t>
  </si>
  <si>
    <t>9.1.1.Провести капітальний ремонт дорожнього покриття вул.Тичини в м.Коломиї</t>
  </si>
  <si>
    <t>Обсяг видатків на проведення капітального ремонту дорожнього покриття вул.Тичини</t>
  </si>
  <si>
    <t>кількість робочих проектів, необхідних для виконання капітального ремонту  вул.Тичини</t>
  </si>
  <si>
    <t>площа  вул.Тичини, де планується провести капітальний ремонт</t>
  </si>
  <si>
    <t>середня вартість виготовлення 1 проекту на капітальний ремонт вул.Тичини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</si>
  <si>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вул.Тичини</t>
    </r>
  </si>
  <si>
    <t>відсоток виконання завдання по капітальному ремонту вул.Тичини</t>
  </si>
  <si>
    <t>Обсяг видатків на проведення капітального ремонту дорожнього покриття вул.Довженка</t>
  </si>
  <si>
    <t>кількість робочих проектів, необхідних для виконання капітального ремонту дорожнього покриття вул.Довженка</t>
  </si>
  <si>
    <t>площа дорожнього покриття вул.Довженка , де планується провести капітальний ремонт</t>
  </si>
  <si>
    <t>середня вартість виготовлення 1 проекту на капітальний ремонт дорожнього покриття вул.Довженка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</si>
  <si>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вул.Довженка</t>
    </r>
  </si>
  <si>
    <t>відсоток виконання завдання по капітальному ремонту дорожнього покриття вул.Довженка в.Коломиї</t>
  </si>
  <si>
    <t>Обсяг видатків на проведення капітального ремонту дорожнього покриття вул.Глінки</t>
  </si>
  <si>
    <t>кількість робочих проектів, необхідних для виконання капітального ремонту дорожнього покриття  вул. Глінки</t>
  </si>
  <si>
    <t>площа дорожнього покриття вул. Глінки, де планується провести капітальний ремонт</t>
  </si>
  <si>
    <t>середня вартість виготовлення 1 проекту на капітальний ремонт дорожнього покриття  вул.Глінки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</si>
  <si>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вул.Глінки </t>
    </r>
  </si>
  <si>
    <t>відсоток виконання завдання по капітальному ремонту дорожнього покриття вул.Глінки</t>
  </si>
  <si>
    <t>Обсяг видатків на проведення капітального ремонту дорожнього покриття вул.Ранкової</t>
  </si>
  <si>
    <t>кількість робочих проектів, необхідних для виконання капітального ремонту дорожнього покриття  вул. Ранкової</t>
  </si>
  <si>
    <t>площа дорожнього покриття вул. Ранкової, де планується провести капітальний ремонт</t>
  </si>
  <si>
    <t>середня вартість виготовлення 1 проекту на капітальний ремонт дорожнього покриття  вул.Ранкової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</si>
  <si>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вул.Ранкової</t>
    </r>
  </si>
  <si>
    <t>відсоток виконання завдання по капітальному ремонту дорожнього покриття вул.Ранкової</t>
  </si>
  <si>
    <t>Обсяг видатків на проведення капітального ремонту дорожнього покриття вул.Роксолани</t>
  </si>
  <si>
    <t>кількість робочих проектів, необхідних для виконання капітального ремонту дорожнього покриття  вул. Роксолани</t>
  </si>
  <si>
    <t>площа дорожнього покриття  вул. Роксолани, де планується провести капітальний ремонт</t>
  </si>
  <si>
    <t>середня вартість виготовлення 1 проекту на капітальний ремонт дорожнього покриття  вул. Роксолани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</si>
  <si>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дорожнього покриття  вул. Роксолани</t>
    </r>
  </si>
  <si>
    <t>відсоток виконання завдання по капітальному ремонту дорожнього покриття  вул.Роксолани в м.Коломиї</t>
  </si>
  <si>
    <t>Обсяг видатків на проведення капітального ремонту дорожнього покриття  вул.Косівської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</si>
  <si>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вул.Косівської</t>
    </r>
  </si>
  <si>
    <t xml:space="preserve">відсоток виконання завдання по капітальному ремонту дорожнього покриття вул.Косівської в м.Коломиї </t>
  </si>
  <si>
    <t>Обсяг видатків на проведення капітального ремонту дорожнього і тротуарного покриття  вул.Лисенка (заїзд до ЗОШ №2 та ДНЗ№11)</t>
  </si>
  <si>
    <t>відсоток виконання завдання по капітальному ремонту  дорожнього і тротуарного покриття  вул.Лисенка (заїзд до ЗОШ №2 та ДНЗ№11)</t>
  </si>
  <si>
    <t>Обсяг видатків на проведення капітального ремонту дорожнього покриття вул.Вітовського</t>
  </si>
  <si>
    <t>Обсяг видатків на проведення капітального ремонту вул.Трильовського</t>
  </si>
  <si>
    <t>Обсяг видатків на проведення капітального ремонту дорожнього покриття біля будинку №20 по  вул.Леонтовича</t>
  </si>
  <si>
    <t>відсоток виконання завдання по капітальному ремонту дорожнього покриття біля будинку №20 по  вул.Леонтовича</t>
  </si>
  <si>
    <t>Обсяг видатків на проведення капітального ремонту вул. Трильовського від буд.№54 до автодорожнього моста</t>
  </si>
  <si>
    <t>відсоток виконання завдання по капітальному ремонту дорожнього покриття вул. Трильовського від буд.№54 до автодорожнього моста</t>
  </si>
  <si>
    <t>Обсяг видатків на проведення капітального ремонту дорожнього покриття вул. Трильовського від  автодорожнього моста до вул. Довбуша</t>
  </si>
  <si>
    <t>відсоток виконання завдання по капітальному ремонту дорожнього покриття вул. Трильовського від  автодорожнього моста до вул. Довбуша</t>
  </si>
  <si>
    <t xml:space="preserve">Кошторис </t>
  </si>
  <si>
    <t>кількість робочих проектів, необхідних для виконання капітального ремонту  вул..Винниченка</t>
  </si>
  <si>
    <t>площа  вул..Винниченка  , де планується провести капітальний ремонт</t>
  </si>
  <si>
    <t>середня вартість виготовлення 1 проекту на капітальний ремонт вул..Винниченка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</si>
  <si>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вул..Винниченка</t>
    </r>
  </si>
  <si>
    <t>Обсяг видатків на проведення капітального ремонту дорожнього та тротуарного покриття вул.Винниченка</t>
  </si>
  <si>
    <t>Обсяг видатків на проведення капітального ремонту дорожнього покриття вул. Довбуша</t>
  </si>
  <si>
    <t>відсоток виконання завдання по капітальному ремонту вул.Довбуша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</si>
  <si>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вул.Довбуша</t>
    </r>
  </si>
  <si>
    <t>площа  вул.Довбуша, де планується провести капітальний ремонт</t>
  </si>
  <si>
    <t>кількість робочих проектів, необхідних для виконання капітального ремонту  вул.Довбуша</t>
  </si>
  <si>
    <t>кількість робочих проектів, необхідних для виконання капітального ремонту  вул..Староміської</t>
  </si>
  <si>
    <t>площа  вул.Староміської , де планується провести капітальний ремонт</t>
  </si>
  <si>
    <t>середня вартість виготовлення 1 проекту на капітальний ремонт вул..Староміської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</si>
  <si>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вул..Староміської</t>
    </r>
  </si>
  <si>
    <t>кількість робочих проектів, необхідних для виконання капітального ремонту  вул..Старицького</t>
  </si>
  <si>
    <t>площа  вул..Старицького  , де планується провести капітальний ремонт</t>
  </si>
  <si>
    <t>середня вартість виготовлення 1 проекту на капітальний ремонт вул..Старицького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</si>
  <si>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вул..Старицького</t>
    </r>
  </si>
  <si>
    <t>кількість робочих проектів, необхідних для виконання капітального ремонту  вул..Гетьманської</t>
  </si>
  <si>
    <t>площа  вул.Гетьманської  , де планується провести капітальний ремонт</t>
  </si>
  <si>
    <t>середня вартість виготовлення 1 проекту на капітальний ремонт вул..Гетьманської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</si>
  <si>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вул..Гетьманської</t>
    </r>
  </si>
  <si>
    <t>кількість робочих проектів, необхідних для виконання капітального ремонту  вул.Лесі Українки в селі Королівка</t>
  </si>
  <si>
    <t>площа  вул.Лесі Українки в селі Королівка, де планується провести капітальний ремонт</t>
  </si>
  <si>
    <t>середня вартість виготовлення 1 проекту на капітальний ремонт вул.Лесі Українки в селі Королівка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</si>
  <si>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вул.Лесі Українки в селі Королівка</t>
    </r>
  </si>
  <si>
    <t>кількість робочих проектів, необхідних для виконання капітального ремонту  вул.Січових Стрільців  в селі Раківчик</t>
  </si>
  <si>
    <t>площа  вул.Січових Стрільців  в селі Раківчик, де планується провести капітальний ремонт</t>
  </si>
  <si>
    <t>середня вартість виготовлення 1 проекту на капітальний ремонт вул.Січових Стрільців  в селі Раківчик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</si>
  <si>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вул.Січових Стрільців  в селі Раківчик</t>
    </r>
  </si>
  <si>
    <t>відсоток виконання завдання по капітальному ремонту  вул.Староміської</t>
  </si>
  <si>
    <t>Обсяг видатків на проведення капітального ремонту дорожнього покриття вул.Старицького</t>
  </si>
  <si>
    <t>відсоток виконання завдання по капітальному ремонту вул.Старицького</t>
  </si>
  <si>
    <t>відсоток виконання завдання по капітальному ремонту вул.Гетьманської</t>
  </si>
  <si>
    <t>Обсяг видатків на проведення капітального ремонту дорожнього покриття вул.Лесі Українки в селі Королівка</t>
  </si>
  <si>
    <t>відсоток виконання завдання по капітальному ремонту вул.Лесі Українки в селі Королівка</t>
  </si>
  <si>
    <t>Обсяг видатків на проведення капітального ремонту дорожнього покриття вул.Січових Стрільців  в селі Раківчик</t>
  </si>
  <si>
    <t>відсоток виконання завдання по капітальному ремонту вул.Січових Стрільців  в селі Раківчик</t>
  </si>
  <si>
    <t xml:space="preserve">9.2.Провести капітальний ремонт тротуарів </t>
  </si>
  <si>
    <t>Обсяг видатків на проведення капітального ремонту тротуарів біля будинків №20-30 по вул.Богуна</t>
  </si>
  <si>
    <t>відсоток виконання завдання по капітальному ремонту тротуарів біля будинків №20-30 по вул.Богуна</t>
  </si>
  <si>
    <t>Обсяг видатків на проведення капітального ремонту тротуарів  по вул.Пекарській</t>
  </si>
  <si>
    <t>Обсяг видатків на проведення капітального ремонту тротуарів по вул.Стефаника</t>
  </si>
  <si>
    <t>кількість кошторисної документації,яку планується виготовити</t>
  </si>
  <si>
    <t>од</t>
  </si>
  <si>
    <t xml:space="preserve">площа тротуарів   по вул.вул.Довбуша від вул.Коцюбинського до вул.Опришківської, де планується провести капітальний ремонт </t>
  </si>
  <si>
    <t>середня вартість виготовлення 1 проекту на капітальний ремонт тротуарів по вул.вул.Довбуша від вул.Коцюбинського до вул.Опришківської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</si>
  <si>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вул.вул.Довбуша від вул.Коцюбинського до вул.Опришківської</t>
    </r>
  </si>
  <si>
    <t>Обсяг видатків на проведення капітального ремонту тротуарів по вул.Довбуша від вул.Коцюбинського до вул.Опришківської</t>
  </si>
  <si>
    <t>відсоток виконання завдання по капітальному ремонту тротуарів від вул.Коцюбинського до вул.Опришківської</t>
  </si>
  <si>
    <t>Обсяг видатків на проведення капітального ремонту тротуарів по вул.Павлика</t>
  </si>
  <si>
    <t xml:space="preserve">Обсяг видатків на капітальний ремонт тротуарів  біля будинків №24,26 по вул.Леонтовича в м.Коломиї </t>
  </si>
  <si>
    <t>кількість кошторисної документації,яку планується виготовити для проведення капітального ремонту тротуарів  біля будинків №24,26 по вул.Леонтовича</t>
  </si>
  <si>
    <t>середня вартість виготовлення 1 проекту на капітальний ремонт тротуарів   біля будинків №24,26 по вул.Леонтовича</t>
  </si>
  <si>
    <t>Обсяг видатків на проведення капітального ремонту тротуарів біля будинків №34,36 по вул. Чайковського</t>
  </si>
  <si>
    <t>кількість робочих проектів, необхідних для виконання капітального ремонту тротуарів біля будинків №34,36 по вул. Чайковського</t>
  </si>
  <si>
    <t>середня вартість виготовлення 1 проекту на капітальний ремонт тротуару  біля будинків №34,36 по вул. Чайковського</t>
  </si>
  <si>
    <t>відсоток виконання завдання по капітальному ремонту тротуарів біля будинків №34,36 по вул. Чайковського</t>
  </si>
  <si>
    <t>Обсяг видатків на проведення капітального ремонту тротуарів біля будинку №18 по вул.Леонтовича</t>
  </si>
  <si>
    <t>відсоток виконання завдання по капітальному ремонту тротуарів біля будинку №18 по вул.Леонтовича</t>
  </si>
  <si>
    <t xml:space="preserve">площа тротуарів   по вул.Миколайчука , де планується провести капітальний ремонт </t>
  </si>
  <si>
    <t>середня вартість виготовлення 1 проекту на капітальний ремонт тротуарів по вул.Миколайчука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</si>
  <si>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вул.Миколайчука</t>
    </r>
  </si>
  <si>
    <t>Обсяг видатків на проведення капітального ремонту тротуарів по вул.Миколайчука</t>
  </si>
  <si>
    <t>кількість кошторисної документації,яку планується виготовити для проведення капітального ремонту тротуарів   по вул.Миколайчука</t>
  </si>
  <si>
    <t>відсоток виконання завдання по капітальному ремонту тротуарів по вул.Миколайчука</t>
  </si>
  <si>
    <t>Обсяг видатків на капітальний ремонт тротуарів по вул.Чехова</t>
  </si>
  <si>
    <t>площа тротуару по вул.Чехова, де проводиться капітальний ремонт</t>
  </si>
  <si>
    <t>середня вартість капітального ремонту 1 м2 тротуару по вул.Чехова</t>
  </si>
  <si>
    <t>Прогнозована ціна</t>
  </si>
  <si>
    <t>відсоток виконання завдання по капітальному ремонту тротуарів по вул.Чехова</t>
  </si>
  <si>
    <t xml:space="preserve">Обсяг видатків на проведення капітального ремонту по вул.Костомарова </t>
  </si>
  <si>
    <t xml:space="preserve">відсоток виконання завдання по капітальному ремонту по вул.Костомарова </t>
  </si>
  <si>
    <t xml:space="preserve">площа тротуарів   по вул.Франка, де планується провести капітальний ремонт </t>
  </si>
  <si>
    <t>середня вартість виготовлення 1 проекту на капітальний ремонт тротуарів по вул.Франка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</si>
  <si>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вул.Франка</t>
    </r>
  </si>
  <si>
    <t xml:space="preserve">площа тротуарів   по вул.Йосипа Сліпого, де планується провести капітальний ремонт </t>
  </si>
  <si>
    <t>середня вартість виготовлення 1 проекту на капітальний ремонт тротуарів по вул.Йосипа Сліпого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</si>
  <si>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вул.Йосипа Сліпого</t>
    </r>
  </si>
  <si>
    <t xml:space="preserve">площа тротуарів   по вул.Мазепи, 270, де планується провести капітальний ремонт </t>
  </si>
  <si>
    <t>середня вартість виготовлення 1 проекту на капітальний ремонт тротуарів по вул.Мазепи, 270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</si>
  <si>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вул.Мазепи, 270</t>
    </r>
  </si>
  <si>
    <t xml:space="preserve">площа тротуарів  вул.Маковея, 6, 16а, де планується провести капітальний ремонт </t>
  </si>
  <si>
    <t>середня вартість виготовлення 1 проекту на капітальний ремонт тротуарів по вул.Маковея, 6, 16а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</si>
  <si>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вул.Маковея, 6, 16а</t>
    </r>
  </si>
  <si>
    <t>Обсяг видатків на проведення капітального ремонту тротуарів по вул.Мазпи ,270</t>
  </si>
  <si>
    <t>кількість кошторисної документації,яку планується виготовити для проведення капітального ремонту тротуарів по вул.Мазпи ,270</t>
  </si>
  <si>
    <t>відсоток виконання завдання по капітальному ремонту по вул.Мазепи, 270</t>
  </si>
  <si>
    <t>Обсяг видатків на проведення капітального ремонту тротуарів по вул.Франка</t>
  </si>
  <si>
    <t>кількість кошторисної документації,яку планується виготовити для проведення капітального ремонту тротуарів по вул.Франка</t>
  </si>
  <si>
    <t>відсоток виконання завдання по капітальному ремонту тротуарів по вул.Франка</t>
  </si>
  <si>
    <t xml:space="preserve">Обсяг видатків на проведення капітального ремонту тротуарів по вул.Йосипа Сліпого </t>
  </si>
  <si>
    <t xml:space="preserve">кількість кошторисної документації,яку планується виготовити для проведення капітального ремонту тротуарів по вул.Йосипа Сліпого </t>
  </si>
  <si>
    <t>відсоток виконання завдання по капітальному ремонту тротуарів по вул.Йосипа Сліпого</t>
  </si>
  <si>
    <t>Обсяг видатків на проведення капітального ремонту тротуарів по вул.Маковея, 6, 16а</t>
  </si>
  <si>
    <t>кількість кошторисної документації,яку планується виготовити для проведення капітального ремонту тротуарів по вул.Маковея, 6, 16а</t>
  </si>
  <si>
    <t>відсоток виконання завдання по капітальному ремонту тротуарів по вул.Маковея, 6, 16а</t>
  </si>
  <si>
    <t>9.2.3.Провести капітальний ремонт тротуарів по вул.Стефаника в м.Коломиї</t>
  </si>
  <si>
    <t>9.2.4.Провести капітальний ремонт тротуарів  по вул. Довбуша в м.Коломиї</t>
  </si>
  <si>
    <t>9.2.5.Провести капітальний ремонт тротуарів  по вул.Довбуша від вул.Коцюбинського до вул.Опришківської в м.Коломиї</t>
  </si>
  <si>
    <t xml:space="preserve"> 9.2.6.Провести капітальний ремонт тротуарів по  вул.Павлика в м.Коломиї</t>
  </si>
  <si>
    <t>9.2.7.Провести капітальний ремонт тротуарів  біля будинків №24,26 по вул.Леонтовича в м.Коломиї</t>
  </si>
  <si>
    <t>9.2.8.Провести капітальний ремонт тротуарів біля будинків №34,36 по вул. Чайковського в м.Коломиї</t>
  </si>
  <si>
    <t>9.2.9.Провести капітальний ремонт тротуарів біля будинку №18 по вул. Леонтовича в м.Коломиї</t>
  </si>
  <si>
    <t>9.2.10.Провести капітальний ремонт тротуарів по вул.Миколайчука в м.Коломиї</t>
  </si>
  <si>
    <t>9.2.12.Провести капітальний ремонт тротуарів  по вул. Костомарова в м.Коломиї</t>
  </si>
  <si>
    <t>9.2.13.Провести капітальний ремонт тротуарів  по вул.Франка в м.Коломиї</t>
  </si>
  <si>
    <t>9.2.14.Провести капітальний ремонт тротуарів  по вул.Йосипа Сліпого в м.Коломиї</t>
  </si>
  <si>
    <t>9.2.15.Провести капітальний ремонт тротуарів  по вул.Мазепи, 270 в м.Коломиї</t>
  </si>
  <si>
    <t>9.3.1.Провести капітальний ремонт міжквартальних проїздів по вул. Бандери, 51а та вул.Палія, 20 в м.Коломиї</t>
  </si>
  <si>
    <t>Обсяг видатків на проведення капітального ремонту міжквартальних проїздів по вул. Бандери, 51а та вул.Палія, 20</t>
  </si>
  <si>
    <t xml:space="preserve">площа міжквартальних проїздів  по вул.Стефаника, 1 де  планується провести капітальний ремонт 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</si>
  <si>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міжквартальних проїздів  по вул.Стефаника, 1</t>
    </r>
  </si>
  <si>
    <t>Обсяг видатків на проведення капітального ремонту міжквартальних проїздів по вул.Стефаника,1</t>
  </si>
  <si>
    <t xml:space="preserve">відсоток виконання завдання  по капітальному ремонту міжквартальних проїздів по вул.Стефаника,1 </t>
  </si>
  <si>
    <t xml:space="preserve">площа міжквартальних проїздів  по вул.Стефаника, 5, 2а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</si>
  <si>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вул.Стефаника, 5, 2а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</si>
  <si>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міжквартальних проїздів  по вул.Стефаника, 5, 2а</t>
    </r>
  </si>
  <si>
    <t>Обсяг видатків на капітальний ремонт міжквартальних проїздів по вул.Стефаника,5,2а</t>
  </si>
  <si>
    <t>кількість кошторисної документації,яку планується виготовити для проведення капітального ремонту по вул.Стефаника,5,2а</t>
  </si>
  <si>
    <t>відсоток виконання завдання по капітальному ремонту міжквартальних проїздів по вул.Стефаника,5,2а</t>
  </si>
  <si>
    <t xml:space="preserve">площа міжквартальних проїздів  по вул.Лисенка, 14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</si>
  <si>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вул.Лисенка, 14</t>
  </si>
  <si>
    <t>середня вартість капітального ремонту 1 м2 міжквартальних проїздів  по вул.Лисенка, 14</t>
  </si>
  <si>
    <t>Обсяг видатків на капітальний ремонт міжквартальних проїздів по вул. Лисенка, 14</t>
  </si>
  <si>
    <t>відсоток виконання завдання по капітальному ремонту міжквартальних проїздів по вул. Лисенка, 14</t>
  </si>
  <si>
    <t>кількість кошторисної документації,яку планується виготовити для проведення капітального ремонту по вул.Лисенка,14</t>
  </si>
  <si>
    <t>Обсяг видатків на капітальний ремонт дорожнього покриття міжквартальних проїздів по пл.Привокзальній,12</t>
  </si>
  <si>
    <t>відсоток виконання завдання по капітальному ремонту дорожнього покриття міжквартальних проїздів по пл.Привокзальній,12</t>
  </si>
  <si>
    <t>Обсяг видатків на капітальний ремонт дорожнього покриття міжквартальних проїздів по пл.Привокзальній 5,6</t>
  </si>
  <si>
    <t>відсоток  виконання завдання по капітальному ремонту дорожнього покриття міжквартальних проїздів по пл.Привокзальній 5,6</t>
  </si>
  <si>
    <t>Обсяг видатків на капітальний ремонт тротуарів і міжквартальних проїздів по вул.Богуна</t>
  </si>
  <si>
    <t>відсоток виконання завдання по капітальному ркмонту тротуарів і міжквартальних проїздів по вул.Богуна</t>
  </si>
  <si>
    <t xml:space="preserve">площа міжквартальних проїздів  по вул.Богуна, 36,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</si>
  <si>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вул.Богуна, 36</t>
  </si>
  <si>
    <t>середня вартість капітального ремонту 1 м2 міжквартальних проїздів  по вул.Богуна, 36</t>
  </si>
  <si>
    <t>Обсяг видатків на проведення капітального ремонту міжквартальних проїздів по вул.Богуна,36</t>
  </si>
  <si>
    <t xml:space="preserve">кількість кошторисної документації,яку планується виготовити для капітального ремонту міжквартальних проїздів по вул. Богуна,36 </t>
  </si>
  <si>
    <t>відсоток виконання завдання по капітальному ремонту міжквартальних проїздів по вул.Богуна, 36</t>
  </si>
  <si>
    <t>Обсяг видатків на проведення капітального ремонту міжквартальних проїздів біля будинку №22 по вул.Леонтовича</t>
  </si>
  <si>
    <t>Обсяг видатківна проведення капітального ремонту міжквартальних проїздів  біля будинків №54,56  по  вул. Чайковського</t>
  </si>
  <si>
    <t>відсоток виконання завдання по капітальному ремонту міжквартальних проїздів біля будинку №22 по вул.Леонтовича</t>
  </si>
  <si>
    <t>відсоток виконання завдання по капітальному ремонту міжквартальних проїздів біля будинків №54,56  по  вул. Чайковського</t>
  </si>
  <si>
    <t>Обсяг видатків на капітальний ремонт міжквартальних проїздів по  вул.Богуна,26,28,30,32</t>
  </si>
  <si>
    <t>відсоток виконання завдання по капітальному ремонту міжквартальних проїздів по  вул.Богуна,26,28,30,32</t>
  </si>
  <si>
    <t xml:space="preserve">площа міжквартальних проїздів  по вул.Костомарова, 2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</si>
  <si>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вул.Костомарова, 2</t>
  </si>
  <si>
    <t>середня вартість капітального ремонту 1 м2 міжквартальних проїздів  по вул.Костомарова, 2</t>
  </si>
  <si>
    <t>Обсяг видатків на проведення капітального ремонту міжквартальних проїздів по вул.Костомарова, 2</t>
  </si>
  <si>
    <t>кількість кошторисної документації,яку планується виготовити для капітального ремонту міжквартальних проїздів по вул.Костомарова, 2</t>
  </si>
  <si>
    <t>відсоток виконання завдання по капітальному ремонту міжквартальних проїздів  по вул.Костомарова, 2</t>
  </si>
  <si>
    <t>Обсяг видатків на проведення капітального ремонту міжквартальних проїздів по пл. Привокзальній, 3</t>
  </si>
  <si>
    <t>відсоток виконання завдання по капітальному ремонту міжквартальних проїздів  по пл.Привокзальній , 3</t>
  </si>
  <si>
    <t>Обсяг видатків на проведення капітального ремонту міжквартальних проїздів по пл. Привокзальній, 4</t>
  </si>
  <si>
    <t>відсоток виконання завдання по капітальному ремонту міжквартальних проїздів  по пл.Привокзальній , 4</t>
  </si>
  <si>
    <t>Обсяг видатків на проведення капітального ремонту міжквартальних проїздів по  вул. Мазепи,236,250,268,274</t>
  </si>
  <si>
    <t>відсоток виконання завдання по капітальному ремонту міжквартальних проїздів по  вул. Мазепи,236,250,268,274</t>
  </si>
  <si>
    <t xml:space="preserve">площа міжквартальних проїздів  по вул.Винниченка,1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</si>
  <si>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вул.Винниченка,1</t>
  </si>
  <si>
    <t>середня вартість капітального ремонту 1 м2 міжквартальних проїздів  по вул.Винниченка,1</t>
  </si>
  <si>
    <t xml:space="preserve">площа міжквартальних проїздів  по пл.Привокзальній, 11 , де  планується провести капітальний ремонт </t>
  </si>
  <si>
    <t xml:space="preserve">середня вартість виготовлення 1 проекту на капітальний ремонт міжквартальних проїздів по пл.Привокзальній, 11 </t>
  </si>
  <si>
    <t xml:space="preserve">середня вартість капітального ремонту 1 м2 міжквартальних проїздів  по пл.Привокзальній, 11 </t>
  </si>
  <si>
    <t>Обсяг видатків на проведення капітального ремонту міжквартальних проїздів по вул.Винниченка,1</t>
  </si>
  <si>
    <t>кількість кошторисної документації,яку планується виготовити для проведення капітального ремонту міжквартальних проїздів по вул.Винниченка,1</t>
  </si>
  <si>
    <t>відсоток виконання завдання по капітальному ремонту міжквартальних проїздів  по вул.Винниченка,1</t>
  </si>
  <si>
    <t>Обсяг видатків на проведення капітального ремонту міжквартальних проїздів по пл.Привокзальній, 11</t>
  </si>
  <si>
    <t>кількість кошторисної документації,яку планується виготовити для проведення капітального ремонту міжквартальних проїздів по пл.Привокзальній, 11</t>
  </si>
  <si>
    <t xml:space="preserve">відсоток виконання завдання по капітальному ремонту міжквартальних проїздів  по пл.Привокзальній, 11 </t>
  </si>
  <si>
    <t>9.3.2.Провести капітальний ремонт міжквартальних проїздів по вул.Стефаника, 1 м.Коломиї</t>
  </si>
  <si>
    <t>9.3.3.Провести капітальний ремонт міжквартальних проїздів по вул.Стефаника, 5, 2а м.Коломиї</t>
  </si>
  <si>
    <t>9.3.4.Провести капітальний ремонт міжквартальних проїздів по вул. Леонтовича, 18 в м.Коломиї</t>
  </si>
  <si>
    <t>9.3.5.Провести капітальний ремонт міжквартальних проїздів по вул. Хмельницького, 1, 1а в м.Коломиї</t>
  </si>
  <si>
    <t>9.3.6.Провести капітальний ремонт міжквартальних проїздів по вул. Леонтовича, 2, 4, 6 в м.Коломиї</t>
  </si>
  <si>
    <t>9.3.7.Провести капітальний ремонт міжквартальних проїздів по вул. Леонтовича, 20, 24, 26 в м.Коломиї</t>
  </si>
  <si>
    <t>9.3.8.Провести капітальний ремонт міжквартальних проїздів по вул.Чайковського, 38, 46, 48 в м.Коломиї</t>
  </si>
  <si>
    <t>9.3.9.Провести капітальний ремонт міжквартальних проїздів по вул.Чайковського, 34, 36, 44 в м.Коломиї</t>
  </si>
  <si>
    <t>9.3.10.Провести капітальний ремонт міжквартальних проїздів по вул.Пекарська, 8 в м.Коломиї</t>
  </si>
  <si>
    <t>кількість робочих проектів, необхідних для виконання капітального ремонту каналізаційної мережі по вул. Бандери, 5</t>
  </si>
  <si>
    <t>Протяжність каналізаційної мережі по вул. Бандери, 5, де  планується провести капітальний ремонт</t>
  </si>
  <si>
    <t>середня вартість виготовлення 1 проекту на капітальний ремонт каналізаційної мережі по  вул. Бандери, 5</t>
  </si>
  <si>
    <t>середня вартість капітального ремонту 1 м/п каналізаційної мережі по  вул. Бандери, 5</t>
  </si>
  <si>
    <t>Обсяг видатківна проведення капітального ремонту каналізаційної мережі по вул.Бандери,5</t>
  </si>
  <si>
    <t>відсоток виконання завдання по капітальному ремонту каналізаційної мережі по вул.Бандери,5</t>
  </si>
  <si>
    <t>кількість робочих проектів, необхідних для виконання капітального ремонту мережі дощової каналізації по вул. Січових Стрільців, 23, 25</t>
  </si>
  <si>
    <t>Протяжність  мережі дощової каналізації  по вул. Січових Стрільців, 23, 25, де  планується провести капітальний ремонт</t>
  </si>
  <si>
    <t>середня вартість виготовлення 1 проекту на капітальний ремонт мережі дощової каналізації по  вул. Січових Стрільців, 23, 25</t>
  </si>
  <si>
    <t>середня вартість капітального ремонту 1 м/п мережі дощової каналізації по  вул. Січових Стрільців, 23, 25</t>
  </si>
  <si>
    <t>кількість робочих проектів, необхідних для виконання капітального ремонту каналізаційної мережі по вул. Шкрумеляка, 20, 24</t>
  </si>
  <si>
    <t>Протяжність каналізаційної мережі по вул.Шкрумеляка, 20, 24, де  планується провести капітальний ремонт</t>
  </si>
  <si>
    <t>середня вартість виготовлення 1 проекту на капітальний ремонт каналізаційної мережі по  вул. Шкрумеляка, 20, 24</t>
  </si>
  <si>
    <t>середня вартість капітального ремонту 1 м/п каналізаційної мережі по  вул.Шкрумеляка, 20, 24</t>
  </si>
  <si>
    <t>кількість робочих проектів, необхідних для виконання капітального ремонту дощової каналізації по  вул. Шопена</t>
  </si>
  <si>
    <t>Протяжність  дощової каналізації  по вул. Шопена, де  планується провести капітальний ремонт</t>
  </si>
  <si>
    <t>середня вартість виготовлення 1 проекту на капітальний ремонт дощової каналізації по   вул. Шопена</t>
  </si>
  <si>
    <t>середня вартість капітального ремонту 1 м/п  дощової каналізації по   вул. Шопена</t>
  </si>
  <si>
    <t>кількість робочих проектів, необхідних для виконання капітального ремонту дощової каналізації по  вул. Дмитра Яворницького, 26</t>
  </si>
  <si>
    <t>Протяжність  дощової каналізації  по вул.Дмитра Яворницького, 26, де  планується провести капітальний ремонт</t>
  </si>
  <si>
    <t>середня вартість виготовлення 1 проекту на капітальний ремонт дощової каналізації по вул.Дмитра Яворницького, 26</t>
  </si>
  <si>
    <t>середня вартість капітального ремонту 1 м/п  дощової каналізації по вул. Дмитра Яворницького, 26</t>
  </si>
  <si>
    <t xml:space="preserve">Обсяг видатків на проведення капітального ремонту мережі дощової каналізації по вул. Січових Стрільців, 23, 25 </t>
  </si>
  <si>
    <t>відсоток виконання завдання по капітальному ремонту мережі дощової каналізації по вул. Січових Стрільців, 23, 25</t>
  </si>
  <si>
    <t>Обсяг видатків на проведення капітального ремонту каналізаційної мережі по вул.Шкрумеляка ,20,24</t>
  </si>
  <si>
    <t>відсоток виконання завдання по капітальному ремонту каналізаційної мережі по вул.Шкрумеляка ,20,24</t>
  </si>
  <si>
    <t>Обсяг видатків на проведення капітального ремонту дощової каналізації по вул. Шопена</t>
  </si>
  <si>
    <t>відсоток виконання завдання по капітальному ремонту дощової каналізації по вул. Шопена</t>
  </si>
  <si>
    <t xml:space="preserve">Обсяг видатків на проведення капітального ремонту дощової каналізації по вул. Дмитра Яворницького, 26 </t>
  </si>
  <si>
    <t xml:space="preserve">відсоток виконання завдання по капітальному ремонту дощової каналізації по вул. Дмитра Яворницького, 26 </t>
  </si>
  <si>
    <t>9.4.1.Капітальний ремонт каналізаційної мережі по вул. Бандери, 5 в м. Коломиї</t>
  </si>
  <si>
    <t>кількість робочих проектів, необхідних для виконання капітального ремонту каналізаційної мережі по вул.Косачівській</t>
  </si>
  <si>
    <t>Протяжність каналізаційної мережі по вул. Косачівській, де  планується провести капітальний ремонт</t>
  </si>
  <si>
    <t>середня вартість виготовлення 1 проекту на капітальний ремонт каналізаційної мережі по вул.Косачівській</t>
  </si>
  <si>
    <t>середня вартість капітального ремонту 1 м/п каналізаційної мережі по вул.Косачівській</t>
  </si>
  <si>
    <t>9.4.2.Капітальний ремонт каналізаційної мережі по вул. Косачівській в м. Коломиї</t>
  </si>
  <si>
    <t>9.4.3.Капітальний ремонт мережі дощової каналізації по вул. Січових Стрільців, 23, 25 в м. Коломиї</t>
  </si>
  <si>
    <t>9.4.4.Капітальний ремонт каналізаційної мережі по вул. Шкрумеляка, 20, 24 в м. Коломиї</t>
  </si>
  <si>
    <t>9.4.5.Капітальний ремонт дощової каналізації по вул. Шопена в м. Коломиї</t>
  </si>
  <si>
    <t xml:space="preserve">Обсяг видатків на проведення капітального ремонту каналізаційної мережі по вул. Косачівській </t>
  </si>
  <si>
    <t xml:space="preserve">відсоток виконання завдання по капітальному ремонту каналізаційної мережі по вул. Косачівській </t>
  </si>
  <si>
    <t>Обсяг видатків на капітальний ремонт дитячого майданчика по вул.Петлюри, 42 в м.Коломиї</t>
  </si>
  <si>
    <t>Обсяг видатків на капітальний ремонт спортивного майданчика по вул.Січових Стрільців, 33 в м.Коломиї</t>
  </si>
  <si>
    <t>Обсяг видатків на капітальний ремонт спортивного майданчика по вул.Січових Стрільців, 50а в м.Коломиї</t>
  </si>
  <si>
    <t>Обсяг видатків на капітальний ремонт спортивного майданчика по вул.Тютюнника, 2 в м.Коломиї</t>
  </si>
  <si>
    <t>Обсяг видатків на капітальний ремонт спортивного майданчика по вул.Пекарській, 8 в м.Коломиї</t>
  </si>
  <si>
    <t>Обсяг видатків на капітальний ремонт спортивного майданчика по вул.Шкрумеляка, 30 в м.Коломиї</t>
  </si>
  <si>
    <t>Обсяг видатків на капітальний ремонт спортивного майданчика по вул.Січових Стрільців, 23-25 в м.Коломиї</t>
  </si>
  <si>
    <t>Обсяг видатків на капітальний ремонт спортивного майданчика по вул.Бандери, 5, 7, 11 в м.Коломиї</t>
  </si>
  <si>
    <t>кількість робочих проектів, необхідних для виконання капітального ремонту дитячих майданчиків</t>
  </si>
  <si>
    <t>кількість дитячих майданчиків, на яких планується провести капітальний ремонт</t>
  </si>
  <si>
    <t>середня вартість виготовлення 1 проекту на капітальний ремонт дитячих майданчиків</t>
  </si>
  <si>
    <t>Обсяг видатків на капітальний ремонт автобусної зупинки по вул.Карпатській,127  в м.Коломиї</t>
  </si>
  <si>
    <t>Обсяг видатків на капітальний ремонт автобусної зупинки по вул.Петлюри,57 в м.Коломиї</t>
  </si>
  <si>
    <t>Обсяг видатків на капітальний ремонт автобусної зупинки по вул.Мазепи,263 в м.Коломиї</t>
  </si>
  <si>
    <t>кількість робочих проектів, необхідних для виконання капітального ремонту автобусних зупинок по вул. Довбуша, 315</t>
  </si>
  <si>
    <t xml:space="preserve">кількість зупинок по вул.Карпатській,127 на яких планується проведення капітального ремонту </t>
  </si>
  <si>
    <t xml:space="preserve">кількість зупинок по вул.Петлюри,57 на яких планується проведення капітального ремонту </t>
  </si>
  <si>
    <t xml:space="preserve">кількість зупинок по вул.Мазепи,263 на яких планується проведення капітального ремонту </t>
  </si>
  <si>
    <t>середня вартість капітального ремонту 1 зупинки по вул. Карпатській,127</t>
  </si>
  <si>
    <t>середня вартість капітального ремонту 1 зупинки по вул. Петлюри,57</t>
  </si>
  <si>
    <t>середня вартість капітального ремонту 1 зупинки по вул. Мазепи,263</t>
  </si>
  <si>
    <t>кількість робочих проектів, необхідних для виконання капітального ремонту вуличного освітлення по вулицях Білейчука, Зелена, Лугова, Шевченка, Гринюка в селі Воскресинці</t>
  </si>
  <si>
    <t>Протяжність мережі вуличного освітлення по вулицях Білейчука, Зелена, Лугова, Шевченка, Гринюка в селі Воскресинці,  де  планується провести капітальний ремонт</t>
  </si>
  <si>
    <t>середня вартість виготовлення 1 проекту на капітальний ремонт вуличного освітлення  по вулицях Білейчука, Зелена, Лугова, Шевченка, Гринюка в селі Воскресинці</t>
  </si>
  <si>
    <r>
      <t>середня вартість капітального ремонту 1 м</t>
    </r>
    <r>
      <rPr>
        <sz val="10"/>
        <color indexed="8"/>
        <rFont val="Times New Roman"/>
        <family val="1"/>
        <charset val="204"/>
      </rPr>
      <t xml:space="preserve"> мереж вуличного освітлення  з встановленням світильників по вулицях Білейчука, Зелена, Лугова, Шевченка, Гринюка в селі Воскресинці</t>
    </r>
  </si>
  <si>
    <t>кількість робочих проектів, необхідних для виконання капітального ремонту вуличного освітлення по вул. І.Ткачука, Сарма-Соколовського в м.Коломиї</t>
  </si>
  <si>
    <t>Протяжність мережі вуличного освітлення по вул. І.Ткачука, Сарма-Соколовського в м.Коломиї</t>
  </si>
  <si>
    <t>Проектно-кошторисна документація</t>
  </si>
  <si>
    <t>середня вартість виготовлення 1 проекту на капітальний ремонт вуличного освітленняпо по вул. І.Ткачука, Сарма-Соколовського в м.Коломиї</t>
  </si>
  <si>
    <t>середня вартість капітального ремонту 1 м мереж вуличного освітлення  по вул. І.Ткачука, Сарма-Соколовського в м.Коломиї</t>
  </si>
  <si>
    <t>9.7.1.Капітальний ремонт вуличного освітлення по вулицях Білейчука, Зелена, Лугова, Шевченка, Гринюка в селі Воскресинці</t>
  </si>
  <si>
    <t>Обсяг видатків на проведення капітального ремонту вуличного освітлення по вулицях Білейчука, Зелена, Лугова, Шевченка, Гринюка в селі Воскресинці</t>
  </si>
  <si>
    <t>відсоток виконання завдання по капітальному ремонту вуличного освітлення по вулицях Білейчука, Зелена, Лугова, Шевченка, Гринюка в селі Воскресинці</t>
  </si>
  <si>
    <t>Обсяг видатків на проведення капітального ремонту вуличного освітлення по вул. І.Ткачука, Сарма-Соколовського в м.Коломиї</t>
  </si>
  <si>
    <t>9.7.2.Капітальний ремонт вуличного освітлення по вул. І.Ткачука, Сарма-Соколовського в м.Коломиї</t>
  </si>
  <si>
    <t>відсоток виконання завдання по капітальному ремонту вуличного освітлення по вул. І.Ткачука, Сарма-Соколовського в м.Коломиї</t>
  </si>
  <si>
    <t>9.7.3.Провести капітальний ремонт вуличного освітлення по вул.Пекарській в м.Коломиї</t>
  </si>
  <si>
    <t xml:space="preserve">9.7.4.Провести капітальний ремонт вуличного освітлення с.Товмачик </t>
  </si>
  <si>
    <t>кількість робочих проектів, необхідних для виконання капітального ремонту вуличного освітлення по вулицях Шевченка, Франка, Гагаріна, Рубанська, Карпатська в с.Іванівці</t>
  </si>
  <si>
    <t>Протяжність мережі вуличного освітлення по вулицях Шевченка, Франка, Гагаріна, Рубанська, Карпатська в с.Іванівці</t>
  </si>
  <si>
    <t>середня вартість виготовлення 1 проекту на капітальний ремонт вуличного освітленняпо по вулицях Шевченка, Франка, Гагаріна, Рубанська, Карпатська в с.Іванівці</t>
  </si>
  <si>
    <t>середня вартість капітального ремонту 1 м мереж вуличного освітлення  по вулицях Шевченка, Франка, Гагаріна, Рубанська, Карпатська в с.Іванівці</t>
  </si>
  <si>
    <t>Обсяг видатків  на проведення капітального ремонту вуличного освітлення по вулицях Шевченка, Франка, Гагаріна, Рубанська, Карпатська в с.Іванівці</t>
  </si>
  <si>
    <t xml:space="preserve">відсоток виконання завдання по капітальному ремонту вуличного освітлення по вулицях Шевченка, Франка, Гагаріна, Рубанська, Карпатська в с.Іванівці </t>
  </si>
  <si>
    <t>9.7.5.Капітальний ремонт вуличного освітлення по вулицях Шевченка, Франка, Гагаріна, Рубанська, Карпатська в с.Іванівці</t>
  </si>
  <si>
    <t>9.7.6.Провести капітальний ремонт мереж вуличного освітлення  с. Іванівці</t>
  </si>
  <si>
    <t>кількість світильників, які планується замінити в  с. Іванівці,  де  планується провести капітальний ремонт</t>
  </si>
  <si>
    <t>середня вартість проведення капітального ремонту мереж вуличного освітлення із заміною 1 світильника в с.Іванівці</t>
  </si>
  <si>
    <t>9.7.7.Провести капітальний ремонт вуличного освітлення в с.Воскресинці</t>
  </si>
  <si>
    <t>кількість робочих проектів, необхідних для виконання капітального ремонту вуличного освітлення в с.Шепарівцях (вул.Гаєва, Зарічна, Миру, Мартовича, Грушевського, Довбуша, Прикарпатська, Шевченка)</t>
  </si>
  <si>
    <t>Протяжність мережі вуличного освітлення в с.Шепарівцях (вул.Гаєва, Зарічна, Миру, Мартовича, Грушевського, Довбуша, Прикарпатська, Шевченка)</t>
  </si>
  <si>
    <t>середня вартість виготовлення 1 проекту на капітальний ремонт вуличного освітленняпо в с.Шепарівцях (вул.Гаєва, Зарічна, Миру, Мартовича, Грушевського, Довбуша, Прикарпатська, Шевченка)</t>
  </si>
  <si>
    <t>середня вартість капітального ремонту 1 м мереж вуличного освітлення  в с.Шепарівцях (вул.Гаєва, Зарічна, Миру, Мартовича, Грушевського, Довбуша, Прикарпатська, Шевченка)</t>
  </si>
  <si>
    <t>Обсяг видатків  на проведення капітального ремонту вуличного освітлення в с.Шепарівцях (вул.Гаєва, Зарічна, Миру, Мартовича, Грушевського, Довбуша, Прикарпатська, Шевченка)</t>
  </si>
  <si>
    <t>відсоток виконання завдання по капітальному ремонту вуличного освітлення в с.Шепарівцях (вул.Гаєва, Зарічна, Миру, Мартовича, Грушевського, Довбуша, Прикарпатська, Шевченка)</t>
  </si>
  <si>
    <t>9.8.1. Провести капітальний ремонт скверу з встановленням дитячого майданчика по вул.Центральна в с.Іванівці</t>
  </si>
  <si>
    <t>Обсяг видатків на капітальний ремонт скверу з встановленням дитячого майданчика по вул.Центральна в с.Іванівці</t>
  </si>
  <si>
    <t>відсоток виконання завдання  по капітальному ремонту скверу з встановленням дитячого майданчика по вул.Центральна в с.Іванівці</t>
  </si>
  <si>
    <t>9.2.11.Провести капітальний ремонт тротуарів по вул.Чехова в м. Коломиї</t>
  </si>
  <si>
    <t>9.7.9.Капітальний ремонт вуличного освітлення в с.Шепарівцях (вул.Гаєва, Зарічна, Миру, Мартовича, Грушевського, Довбуша, Прикарпатська, Шевченка)</t>
  </si>
  <si>
    <t>5.2.Проведення заходів з озеленнення за рахунок субвенції з обласного бюжету</t>
  </si>
  <si>
    <t>обсяг витрат на утримання дорожної мережі в зимовий період</t>
  </si>
  <si>
    <t>6.1. Забезпечити  утримання дорожньої мережі в зимовий період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</si>
  <si>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</si>
  <si>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</si>
  <si>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</si>
  <si>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</si>
  <si>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</si>
  <si>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Середня вартість розподілу  1 кВт електричної енергії</t>
  </si>
  <si>
    <t>відсоток виконання завдання по оплаті за електроенергію</t>
  </si>
  <si>
    <t>Розпорядження ОДА від 03.12.2020 №708-р</t>
  </si>
  <si>
    <t>рішення міської ради від 24.12.2020 №125-4/2020</t>
  </si>
  <si>
    <t>М.П.</t>
  </si>
  <si>
    <t>5.2.Проведення заходів з озеленнення парків, скверів за рахунок субвенції з обласного бюжету</t>
  </si>
  <si>
    <t>обсяг витрат на проведення заходів з озеленення парків, скверів за рахунок субвенції з обласного бюджету</t>
  </si>
  <si>
    <t>Кількість  заходів з озеленення парків, скверів, які планується провести за рахунок коштів обласного бюджету</t>
  </si>
  <si>
    <t>середня вартість проведення 1 заходу з озеленення парків, скверів</t>
  </si>
  <si>
    <t>відсоток виконання завдання по озелененні парків, скверів  за рахунок субвенції з обласного бюджету</t>
  </si>
  <si>
    <t>відсоток виконання завдання по капітальному ремонту ремонту дорожнього і тротуарного покриття вул.Винниченка</t>
  </si>
  <si>
    <t>Обсяг видатків на проведення капітального ремонту дорожнього і тротуарного покриття вул.Староміської</t>
  </si>
  <si>
    <t xml:space="preserve">Обсяг видатків на проведення капітального ремонту дорожнього і тротуарного покриття вул.Гетьманської  </t>
  </si>
  <si>
    <t>площа покриття міжквартальних проїздів по вул. Бандери, 51а та вул.Палія, 20  , де  планується провести капітальний ремонт</t>
  </si>
  <si>
    <t>Обсяг видатків на капітальний ремонт міжквартальних проїздів  по вул.Леонтовича, 18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</si>
  <si>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 по вул. Хмельницького, 1, 1а</t>
    </r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</si>
  <si>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 по вул.Леонтовича, 2, 4, 6</t>
    </r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</si>
  <si>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по вул.Леонтовича, 20, 24, 26</t>
    </r>
  </si>
  <si>
    <t xml:space="preserve">Наказ </t>
  </si>
  <si>
    <t>Обсяг видатків на проведення капітального ремонту дорожнього покриття вул.Шопена в м.Коломиї</t>
  </si>
  <si>
    <t>кількість робочих проектів, необхідних для виконання капітального ремонту  вул.Шопена в м.Коломиї</t>
  </si>
  <si>
    <t>площа  вул.Шопена в м.Коломиї, де планується провести капітальний ремонт</t>
  </si>
  <si>
    <t>середня вартість виготовлення 1 проекту на капітальний ремонт вул.Шопена в м.Коломиї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</si>
  <si>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вул.Шопена в м.Коломиї</t>
    </r>
  </si>
  <si>
    <t>відсоток виконання завдання по капітальному ремонту вул.Шопена в м.Коломиї</t>
  </si>
  <si>
    <t>Обсяг видатків на проведення капітального ремонту дорожнього і тротуарного покриття вул.Міцкевича(заїзд до ЗОШ№1) в м.Коломиї</t>
  </si>
  <si>
    <t>кількість робочих проектів, необхідних для виконання капітального ремонту  дорожнього і тротуарного покриття вул.Міцкевича(заїзд до ЗОШ№1) в м.Коломиї</t>
  </si>
  <si>
    <t>середня вартість виготовлення 1 проекту на капітальний ремонт дорожнього і тротуарного покриття вул.Міцкевича(заїзд до ЗОШ№1) в м.Коломиї</t>
  </si>
  <si>
    <t>площа  дорожнього і тротуарного покриття вул.Міцкевича(заїзд до ЗОШ№1) в м.Коломиї,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</si>
  <si>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дорожнього і тротуарного покриття вул.Міцкевича(заїзд до ЗОШ№1) в м.Коломиї</t>
    </r>
  </si>
  <si>
    <t>відсоток виконання завдання по капітальному ремонту дорожнього і тротуарного покриття вул.Міцкевича(заїзд до ЗОШ№1) в м.Коломиї</t>
  </si>
  <si>
    <t xml:space="preserve">Обсяг видатків </t>
  </si>
  <si>
    <t>кількість перехресть вулиць, з влаштуванням кільцевої розвязки, де планується провести капітальний ремонт</t>
  </si>
  <si>
    <t xml:space="preserve">середня вартість капітального ремонту перехресть вулиць, з влаштуванням кільцевої розвязки </t>
  </si>
  <si>
    <t xml:space="preserve">відсоток виконання завдання </t>
  </si>
  <si>
    <t>Обсяг видатків на проведення капітального ремонту тротуарів по вул.Опришківській в м.Коломиї</t>
  </si>
  <si>
    <t>кількість кошторисної документації,яку планується виготовити для проведення капітального ремонту тротуарів по вул.Опришківській в м.Коломиї</t>
  </si>
  <si>
    <t xml:space="preserve">площа тротуарів  по вул.Опришківській в м.Коломиї, де планується провести капітальний ремонт </t>
  </si>
  <si>
    <t>середня вартість виготовлення 1 проекту на капітальний ремонт тротуарів по вул.Опришківській в м.Коломиї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</si>
  <si>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по вул.Опришківській в м.Коломиї</t>
    </r>
  </si>
  <si>
    <t>відсоток виконання завдання по капітальному ремонту тротуарів по вул.Опришківській в м.Коломиї</t>
  </si>
  <si>
    <t>Обсяг видатків на проведення капітального ремонту міжквартальних проїздів по вулиці Куліша, 5, 7 в м. Коломиї</t>
  </si>
  <si>
    <t>кількість кошторисної документації,яку планується виготовити для проведення капітального ремонту міжквартальних проїздів по вулиці Куліша, 5, 7 в м. Коломиї</t>
  </si>
  <si>
    <t xml:space="preserve">площа міжквартальних проїздів  по вулиці Куліша, 5, 7 в м. Коломиї ,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</si>
  <si>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вулиці Куліша, 5, 7 в м. Коломиї</t>
  </si>
  <si>
    <t xml:space="preserve">середня вартість капітального ремонту 1 м2 міжквартальних проїздів  по вулиці Куліша, 5, 7 в м. Коломиї </t>
  </si>
  <si>
    <t>відсоток виконання завдання по капітальному ремонту міжквартальних проїздів  по вулиці Куліша, 5, 7 в м. Коломиї</t>
  </si>
  <si>
    <t>Обсяг видатків на проведення капітального ремонту міжквартальних проїздів по вулиці Січових Стрільців, 34 в м. Коломиї</t>
  </si>
  <si>
    <t>кількість кошторисної документації,яку планується виготовити для проведення капітального ремонту міжквартальних проїздів по вулиці Січових Стрільців, 34 в м. Коломиї</t>
  </si>
  <si>
    <t xml:space="preserve">площа міжквартальних проїздів  по вулиці Січових Стрільців, 34 в м. Коломиї ,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</si>
  <si>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вулиці Січових Стрільців, 34 в м. Коломиї</t>
  </si>
  <si>
    <t>середня вартість капітального ремонту 1 м2 міжквартальних проїздів  по вулиці Січових Стрільців, 34 в м. Коломиї</t>
  </si>
  <si>
    <t>відсоток виконання завдання по капітальному ремонту міжквартальних проїздів  по вулиці Січових Стрільців, 34 в м. Коломиї</t>
  </si>
  <si>
    <t>2.3.Поточний ремонт дорожнього покриття по вул. Луговій в селі Корнич</t>
  </si>
  <si>
    <t>обсяг видатків на поточний ремонт дорожнього покриття по вул. Луговій в селі Корнич</t>
  </si>
  <si>
    <t>площа дорожнього покриття по вул.Луговій в селі Корнич,на якій планується провести поточний ремонт</t>
  </si>
  <si>
    <t>середня вартість проведення ремонту 1 м²  дорожнього покриття по вул.Луговій в селі Корнич</t>
  </si>
  <si>
    <t>відсоток виконання поточного ремонту дорожнього покриття по вул.Луговій в селі Корнич</t>
  </si>
  <si>
    <t>2.3.Провести поточний ремонт дорожнього покриття по вул. Луговій в селі Корнич</t>
  </si>
  <si>
    <t>обсяг видатків на проведення поточного ремонту вуличного освітлення по вулицях Гулика та О.Кобилянської в селі Корнич</t>
  </si>
  <si>
    <t>протяжність освітлювальних мереж ,на яких планується провести поточний ремонт,по вулицях Гулика та О.Кобилянської в селі Корнич</t>
  </si>
  <si>
    <t>середня вартість поточного ремонту вуличного освітлення по вулицях Гулика та О.Кобилянської в селі Корнич</t>
  </si>
  <si>
    <t>відсоток виконання завдання по поточному ремонту вуличного освітлення по вулицях Гулика та О.Кобилянської в селі Корнич</t>
  </si>
  <si>
    <t>6.3.Забезпечити поточний ремонт вуличного освітлення по вулицях Гулика та О.Кобилянської в селі Корнич</t>
  </si>
  <si>
    <t>6.4. Забезпечити оплату за електричну енергію</t>
  </si>
  <si>
    <t>6.5. Забезпечити поточний ремонт об'єктів благоустрою</t>
  </si>
  <si>
    <t>6.6. Забезпечити обслуговування міського фонтану</t>
  </si>
  <si>
    <t>6.7. Провести ремонт дитячих та спортивних майданчиків</t>
  </si>
  <si>
    <t>6.8. Провести благоустрій скверів</t>
  </si>
  <si>
    <t>9.8.2.Провести капітальний ремонт площадки в парку ім. Кирила Трильовського в м. Коломиї</t>
  </si>
  <si>
    <t>площа площадки в парку ім.Кирила Трильовського,на якій планується провести капітальний ремонт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</si>
  <si>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площадки в парку ім.Кирила Трильовського</t>
    </r>
  </si>
  <si>
    <t>Обсяг видатків на проведення капітального ремонту площадки в парку ім. Кирила Трильовського в м. Коломиї</t>
  </si>
  <si>
    <t>відсоток виконання завдання по капітальному ремонту площадки в парку ім. Кирила Трильовського в м. Коломиї</t>
  </si>
  <si>
    <t>6.5.Забезпечити ремонт об'єктів благоустрою</t>
  </si>
  <si>
    <t>6.6.Забезпечити обслуговування міського фонтану</t>
  </si>
  <si>
    <t>6.7.Провести ремонт дитячих та спортивних майданчиків</t>
  </si>
  <si>
    <t xml:space="preserve">Обсяг видатків на проведення капітального ремонту  дорожнього покриття  вулиці Шкрумеляка </t>
  </si>
  <si>
    <t xml:space="preserve">площа дорожнього покриття  вулиці Шкрумеляка </t>
  </si>
  <si>
    <t xml:space="preserve">середня вартість капітального ремонту 1 м2 дорожнього покриття вулиці Шкрумеляка </t>
  </si>
  <si>
    <t xml:space="preserve">відсоток виконання завдання по капітальному ремонту дорожнього покриття вул.Шкрумеляка </t>
  </si>
  <si>
    <t>середня вартість щоденного прибирання сміття з 1 урни</t>
  </si>
  <si>
    <t>кількість урн з яких щоденно вивозиться сміття</t>
  </si>
  <si>
    <t>Площа доріг, яку планується очистити механізованим способом</t>
  </si>
  <si>
    <t>1000 м2</t>
  </si>
  <si>
    <t>Протяжність проїжджої частини вулиць, яку планується поливати механізованим способом</t>
  </si>
  <si>
    <t>1 км</t>
  </si>
  <si>
    <t>середня вартість поливання 1 км проїжджої частини механізованим способом</t>
  </si>
  <si>
    <t>Площа доріг та тротуарів,яку планується очистити від снігу вручну</t>
  </si>
  <si>
    <t>середня вартість очищення 100 м² проїжджої частини та тротуарів від снігу</t>
  </si>
  <si>
    <t>кількість дощеприймальних колодязів,які планується прочистити каналопромивальною машиною</t>
  </si>
  <si>
    <t>середня вартість прочищення  1 дощеприймального колодязя канапромивальною машиною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</si>
  <si>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</si>
  <si>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</si>
  <si>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Начальник управління комунального господарства</t>
  </si>
  <si>
    <t>Андрій РАДОВЕЦЬ</t>
  </si>
  <si>
    <r>
      <t>середня вартість очищення 100 м</t>
    </r>
    <r>
      <rPr>
        <sz val="10"/>
        <color indexed="8"/>
        <rFont val="Calibri"/>
        <family val="2"/>
        <charset val="204"/>
      </rPr>
      <t>²</t>
    </r>
    <r>
      <rPr>
        <sz val="10"/>
        <color indexed="8"/>
        <rFont val="Times New Roman"/>
        <family val="1"/>
        <charset val="204"/>
      </rPr>
      <t xml:space="preserve"> покриттів від пилу та сміття</t>
    </r>
  </si>
  <si>
    <r>
      <t>середня вартість очищення 1000 м</t>
    </r>
    <r>
      <rPr>
        <sz val="10"/>
        <color indexed="8"/>
        <rFont val="Calibri"/>
        <family val="2"/>
        <charset val="204"/>
      </rPr>
      <t>²</t>
    </r>
    <r>
      <rPr>
        <sz val="10"/>
        <color indexed="8"/>
        <rFont val="Times New Roman"/>
        <family val="1"/>
        <charset val="204"/>
      </rPr>
      <t xml:space="preserve"> покриттів механізованим способом</t>
    </r>
  </si>
  <si>
    <r>
      <t>м</t>
    </r>
    <r>
      <rPr>
        <sz val="10"/>
        <color indexed="8"/>
        <rFont val="Calibri"/>
        <family val="2"/>
        <charset val="204"/>
      </rPr>
      <t>²</t>
    </r>
  </si>
  <si>
    <r>
      <t>середня вартість встановлення 1 м</t>
    </r>
    <r>
      <rPr>
        <sz val="10"/>
        <color indexed="8"/>
        <rFont val="Calibri"/>
        <family val="2"/>
        <charset val="204"/>
      </rPr>
      <t>²</t>
    </r>
    <r>
      <rPr>
        <sz val="10"/>
        <color indexed="8"/>
        <rFont val="Times New Roman"/>
        <family val="1"/>
        <charset val="204"/>
      </rPr>
      <t xml:space="preserve"> огородження</t>
    </r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</si>
  <si>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покриття міжквартальних проїздів  по вул.Січових Стрільців, 23, 25 та вул. Лисенка, 1</t>
    </r>
  </si>
  <si>
    <r>
      <t>середня вартість капітального ремонту 1 м</t>
    </r>
    <r>
      <rPr>
        <sz val="10"/>
        <color indexed="8"/>
        <rFont val="Times New Roman"/>
        <family val="1"/>
        <charset val="204"/>
      </rPr>
      <t xml:space="preserve"> мереж вуличного освітлення  по вул.Пекарській</t>
    </r>
  </si>
  <si>
    <r>
      <t>середня вартість капітального ремонту 1 м</t>
    </r>
    <r>
      <rPr>
        <sz val="10"/>
        <color indexed="8"/>
        <rFont val="Times New Roman"/>
        <family val="1"/>
        <charset val="204"/>
      </rPr>
      <t xml:space="preserve"> мереж вуличного освітлення  с.Товмачик</t>
    </r>
  </si>
  <si>
    <r>
      <t>середня вартість капітального ремонту 1 м</t>
    </r>
    <r>
      <rPr>
        <sz val="10"/>
        <color indexed="8"/>
        <rFont val="Times New Roman"/>
        <family val="1"/>
        <charset val="204"/>
      </rPr>
      <t xml:space="preserve"> мереж вуличного освітлення  с.Воскресинці</t>
    </r>
  </si>
  <si>
    <r>
      <t>середня вартість капітального ремонту 1 м</t>
    </r>
    <r>
      <rPr>
        <sz val="10"/>
        <color indexed="8"/>
        <rFont val="Times New Roman"/>
        <family val="1"/>
        <charset val="204"/>
      </rPr>
      <t xml:space="preserve"> мереж вуличного освітлення   в с.Саджавка з встановленням світильників</t>
    </r>
  </si>
  <si>
    <t>обсяг видатків на визначення норм надання послуг з вивезення побутових відходів</t>
  </si>
  <si>
    <t>кількість послуг з визначення норм вивезення побутових відходів,які планується оплатити</t>
  </si>
  <si>
    <t>середня вартість 1 послуги з визначення норм вивезення побутових відходів</t>
  </si>
  <si>
    <r>
      <t>___</t>
    </r>
    <r>
      <rPr>
        <u/>
        <sz val="12"/>
        <color rgb="FF000000"/>
        <rFont val="Times New Roman"/>
        <family val="1"/>
        <charset val="204"/>
      </rPr>
      <t>від                                      р.</t>
    </r>
    <r>
      <rPr>
        <sz val="12"/>
        <color rgb="FF000000"/>
        <rFont val="Times New Roman"/>
        <family val="1"/>
        <charset val="204"/>
      </rPr>
      <t>___</t>
    </r>
    <r>
      <rPr>
        <sz val="12"/>
        <color indexed="8"/>
        <rFont val="Times New Roman"/>
        <family val="1"/>
        <charset val="204"/>
      </rPr>
      <t>_ N ________</t>
    </r>
  </si>
  <si>
    <r>
      <t>Підстави для виконання бюджетної програми: _____</t>
    </r>
    <r>
      <rPr>
        <u/>
        <sz val="11"/>
        <color indexed="8"/>
        <rFont val="Times New Roman"/>
        <family val="1"/>
        <charset val="204"/>
      </rPr>
      <t>Конституція України, Бюджетний кодекс України,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17.12.2020 року №37-3/2020 "Про затвердження програми "Благоустрій</t>
    </r>
  </si>
  <si>
    <t>Обсяг видатків на проведення капітального ремонту дорожнього покриття по вул.  Лесі Українки в селі Королівка</t>
  </si>
  <si>
    <t>кількість робочих проектів, необхідних для виконання капітального ремонту  дорожнього покриття по вул. Лесі Українки  в селі Королівка</t>
  </si>
  <si>
    <t>площа  дорожнього покриття вул. Лесі Українки  в селі Королівка, де планується провести капітальний ремонт</t>
  </si>
  <si>
    <t>середня вартість виготовлення 1 проекту на капітальний ремонт дорожнього покриття вул.Лесі Українки  в селі Королівка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</si>
  <si>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 дорожнього покриття вул. Лесі Українки  в селі Королівка</t>
    </r>
  </si>
  <si>
    <t>відсоток виконання завдання по капітальному ремонту дорожнього покриття вул. Лесі Українки  в селі Королівка</t>
  </si>
  <si>
    <t>9.1.2.Провести капітальний ремонт дорожнього покриття вул.Довженка в м.Коломиї</t>
  </si>
  <si>
    <t>9.1.3.Провести капітальний ремонт  дорожнього покриття вул.Глінки в м.Коломиї</t>
  </si>
  <si>
    <t>9.1.4.Провести капітальний ремонт  дорожнього покриття вул.Ранкової в м.Коломиї</t>
  </si>
  <si>
    <t xml:space="preserve"> 9.1.5.Провести капітальний ремонт дорожнього покриття вул.Роксолани  в м.Коломиї</t>
  </si>
  <si>
    <t>9.1.6.Провести капітальний ремонт дорожнього покриття вул.Косівської в м.Коломиї</t>
  </si>
  <si>
    <t>9.1.7. Провести капітальний ремонт дорожнього і тротуарного покриття вул. Лисенка (заїзд до ЗОШ №2 та ДНЗ№11) в м.Коломиї</t>
  </si>
  <si>
    <t>9.1.8.Провести капітальний ремонт дорожнього покриття вул.Вітовського в м.Коломиї</t>
  </si>
  <si>
    <t>9.1.9.Провести капітальний ремонт вул.Трильовського в м.Коломиї</t>
  </si>
  <si>
    <t>9.1.10.Провести капітальний ремонт дорожнього покриття біля будинку №20 по вул.Леонтовича в м.Коломиї</t>
  </si>
  <si>
    <t>9.1.11.Провести капітальний ремонт вул.Трильовського від буд.№54 до автодорожнього моста в м.Коломиї</t>
  </si>
  <si>
    <t>9.1.12.Провести капітальний ремонт дорожнього покриття вул.Трильовського від  автодорожнього моста до вул. Довбуша в м.Коломиї</t>
  </si>
  <si>
    <t>9.1.13.Провести капітальний ремонт дорожнього і тротуарного покриття вул.Винниченка в м.Коломиї</t>
  </si>
  <si>
    <t>9.1.14.Провести капітальний ремонт дорожнього покриття вул.Довбуша в м.Коломиї</t>
  </si>
  <si>
    <t>9.1.15.Провести капітальний ремонт дорожнього покриття вул.Шкрумеляка  в м.Коломиї</t>
  </si>
  <si>
    <t>9.1.16.Провести капітальний ремонт дорожнього і тротуарного покриття вул.Староміської в м.Коломиї</t>
  </si>
  <si>
    <t>9.1.17.Провести капітальний ремонт дорожнього покриття вул.Старицького в м.Коломиї</t>
  </si>
  <si>
    <t>9.1.18.Провести капітальний ремонт дорожнього і тротуарного покриття вул.Гетьманської в м.Коломиї</t>
  </si>
  <si>
    <t>9.1.19.Провести капітальний ремонт дорожнього покриття вул.Лесі Українки в селі Королівка</t>
  </si>
  <si>
    <t>9.1.20.Провести капітальний ремонт дорожнього покриття вул.Січових Стрільців  в селі Раківчик</t>
  </si>
  <si>
    <t>9.1.21.Капітальний ремонт дорожнього покриття вулиці Шопена в м.Коломиї</t>
  </si>
  <si>
    <t>9.1.22.Капітальний ремонт дорожнього і тротуарного покриття вул.Міцкевича(заїзд до ЗОШ№1) в м.Коломиї</t>
  </si>
  <si>
    <t>9.1.23.Капітальний ремонт дорожнього покриття по вул. Лесі Українки в селі Королівка</t>
  </si>
  <si>
    <t>9.1.24.Провести капітальний ремонт перехрестя вул.Міцкевича-вул.Кузьми з влаштуванням кільцевої розв'язки</t>
  </si>
  <si>
    <t>9.1.25.Провести капітальний ремонт дорожнього покриття   вулиці Глибокої в м.Коломиї</t>
  </si>
  <si>
    <t>Обсяг видатків на проведення капітального ремонту дорожнього покриття   вулиці Глибокої</t>
  </si>
  <si>
    <t>кількість робочих проектів, необхідних для виконання капітального ремонту дорожнього покриття   вулиці Глибокої</t>
  </si>
  <si>
    <t>площа дорожнього покриття   вулиці Глибокої, де планується провести капітальний ремонт</t>
  </si>
  <si>
    <t>середня вартість виготовлення 1 проекту на капітальний ремонт дорожнього покриття   вулиці Глибокої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</si>
  <si>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дорожнього покриття   вулиці Глибокої</t>
    </r>
  </si>
  <si>
    <t>відсоток виконання завдання по капітальному ремонту дорожнього покриття   вулиці Глибокої</t>
  </si>
  <si>
    <t>Обсяг видатків на проведення капітального ремонту тротуарів біля буд. №8 по вул.Пекарській</t>
  </si>
  <si>
    <t>кількість кошторисної документації,яку планується виготовити для проведення капітального ремонту тротуарів   біля буд. №8 по вул.Пекарській</t>
  </si>
  <si>
    <t xml:space="preserve">площа тротуарів   біля буд. №8 по вул.Пекарській, де планується провести капітальний ремонт </t>
  </si>
  <si>
    <t>середня вартість виготовлення 1 проекту на капітальний ремонт тротуарів біля буд. №8 по вул.Пекарській</t>
  </si>
  <si>
    <r>
      <t>середня вартість капітального ремонту 1 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тротуару, біля буд. №8 по вул.Пекарській</t>
    </r>
  </si>
  <si>
    <t>відсоток виконання завдання по капітальному ремонту тротуарів біля буд. №8 по вул.Пекарській</t>
  </si>
  <si>
    <t>9.2.16.Провести капітальний ремонт тротуарів  по вул.Маковея, 6, 16а в м.Коломиї</t>
  </si>
  <si>
    <t>9.2.17.Провести капітальний ремонт тротуарів по вул.Опришківській в м.Коломиї</t>
  </si>
  <si>
    <t>9.2.18.Провести капітальний ремонт тротуарів біля будинку №8 по вул.Пекарській в м.Коломиї</t>
  </si>
  <si>
    <t>9.3.11.Провести капітальний ремонт міжквартальних проїздів  по вул.Лисенка, 10 в м.Коломиї</t>
  </si>
  <si>
    <t>9.3.12.Провести капітальний ремонт міжквартальних проїздів по вул.Лисенка, 14 м.Коломиї</t>
  </si>
  <si>
    <t>9.3.13.Провести капітальний ремонт міжквартальних проїздів по вул. Сахарова в м.Коломиї</t>
  </si>
  <si>
    <t>9.3.14.Провести капітальний ремонт міжквартальних проїздів по вул.Леонтовича в м.Коломиї</t>
  </si>
  <si>
    <t>9.3.15.Провести капітальний ремонт дорожнього покриття  міжквартальних проїздів по пл. Привокзальній 5,6</t>
  </si>
  <si>
    <t>9.3.16.Провести капітальний ремонт дорожнього покриття  міжквартальних проїздів по пл.Привокзальній, 12 в Коломиї</t>
  </si>
  <si>
    <t>9.3.17.Провести капітальний ремонт тротуарів і міжквартальних проїздів по вул.Богуна в м.Коломиї</t>
  </si>
  <si>
    <t>9.3.18.Провести капітальний ремонт міжквартальних проїздів по вул.Богуна, 36 м.Коломиї</t>
  </si>
  <si>
    <t>9.3.19.Провести капітальний ремонт міжквартальних проїздів біля будинку №22 по вул.Леонтовича в м.Коломиї</t>
  </si>
  <si>
    <t>9.3.20.Провести капітальний ремонт  міжквартальних проїздів біля будинків №54,56 по вул.Чайковського в м.Коломиї</t>
  </si>
  <si>
    <t>9.3.21.Провести капітальний ремонт  міжквартальних проїздів по  вул.Богуна,26,28,30,32 в м.Коломиї</t>
  </si>
  <si>
    <t>9.3.22.Провести капітальний ремонт міжквартальних проїздів по вул.Січових Стрільців, 23, 25 та вул. Лисенка, 1 в м.Коломиї</t>
  </si>
  <si>
    <t>9.3.23.Провести капітальний ремонт міжквартальних проїздів по вул.Костомарова, 2 м.Коломиї</t>
  </si>
  <si>
    <t>9.3.24.Провести капітальний ремонт  міжквартальних проїздів по  пл. Привокзальній, 3  в м.Коломиї</t>
  </si>
  <si>
    <t>9.3.25.Провести капітальний ремонт  міжквартальних проїздів по  пл. Привокзальній, 4  в м.Коломиї</t>
  </si>
  <si>
    <t>9.3.26.Провести капітальний ремонт  міжквартальних проїздів по  вул. Мазепи,236,250,268,274   в м.Коломиї</t>
  </si>
  <si>
    <t>9.3.27.Провести капітальний ремонт міжквартальних проїздів по вул.Винниченка,1 м.Коломиї</t>
  </si>
  <si>
    <t>9.3.28.Провести капітальний ремонт міжквартальних проїздів по пл.Привокзальній, 11 м.Коломиї</t>
  </si>
  <si>
    <t>9.3.29.Капітальний ремонт міжквартальних проїздів по вулиці Куліша, 5, 7 в м. Коломиї</t>
  </si>
  <si>
    <t>9.3.30.Капітальний ремонт міжквартальних проїздів по вулиці Січових Стрільців, 34 в м. Коломиї</t>
  </si>
  <si>
    <t>9.3.31.Провести капітальний ремонт міжквартальних проїздів по вул.Січових Стрільців, 33 м.Коломиї</t>
  </si>
  <si>
    <t>середня вартість виготовлення 1 проекту на капітальний ремонт міжквартальних проїздів по вул.Січових Стрільців, 33</t>
  </si>
  <si>
    <t>Обсяг видатків на проведення капітального ремонту міжквартальних проїздів по вул.Січових Стрільців, 39</t>
  </si>
  <si>
    <t>кількість кошторисної документації,яку планується виготовити для капітального ремонту міжквартальних проїздів по вул.Січових Стрільців, , 39</t>
  </si>
  <si>
    <t xml:space="preserve">площа міжквартальних проїздів  по вул.Січових Стрільців 39, де  планується провести капітальний ремонт </t>
  </si>
  <si>
    <t>середня вартість виготовлення 1 проекту на капітальний ремонт міжквартальних проїздів по вул.Січових Стрільців,  39</t>
  </si>
  <si>
    <t>середня вартість капітального ремонту 1 м2 міжквартальних проїздів  по вул.Січових Стрільців,  39</t>
  </si>
  <si>
    <t>відсоток виконання завдання по капітальному ремонту міжквартальних проїздів по вул.Січових Стрільців,  39</t>
  </si>
  <si>
    <t>9.3.32.Провести капітальний ремонт міжквартальних проїздів по вул.Січових Стрільців,  39 м.Коломиї</t>
  </si>
  <si>
    <t>9.3.33.Провести капітальний ремонт міжквартальних проїздів по  вул.Коновальця, 19 м.Коломиї</t>
  </si>
  <si>
    <t>Обсяг видатків на проведення капітального ремонту міжквартальних проїздів по  вул.Коновальця, 19,</t>
  </si>
  <si>
    <t>кількість кошторисної документації,яку планується виготовити для капітального ремонту міжквартальних проїздів по вул.Коновальця, 19</t>
  </si>
  <si>
    <t xml:space="preserve">площа міжквартальних проїздів  по вул.Коновальця, 19, де  планується провести капітальний ремонт </t>
  </si>
  <si>
    <t>середня вартість виготовлення 1 проекту на капітальний ремонт міжквартальних проїздів по  вул.Коновальця, 19</t>
  </si>
  <si>
    <t>середня вартість капітального ремонту 1 м2 міжквартальних проїздів  по  вул.Коновальця, 19</t>
  </si>
  <si>
    <t>відсоток виконання завдання по капітальному ремонту міжквартальних проїздів по  вул.Коновальця, 19</t>
  </si>
  <si>
    <t>9.3.34.Провести капітальний ремонт міжквартальних проїздів по  вул.Коновальця, 21 м.Коломиї</t>
  </si>
  <si>
    <t>Обсяг видатків на проведення капітального ремонту міжквартальних проїздів по  вул.Коновальця, 21,</t>
  </si>
  <si>
    <t>кількість кошторисної документації,яку планується виготовити для капітального ремонту міжквартальних проїздів по вул.Коновальця, 21</t>
  </si>
  <si>
    <t xml:space="preserve">площа міжквартальних проїздів  по вул.Коновальця, 21, де  планується провести капітальний ремонт </t>
  </si>
  <si>
    <t>середня вартість виготовлення 1 проекту на капітальний ремонт міжквартальних проїздів по  вул.Коновальця, 21</t>
  </si>
  <si>
    <t>середня вартість капітального ремонту 1 м2 міжквартальних проїздів  по  вул.Коновальця, 21</t>
  </si>
  <si>
    <t>відсоток виконання завдання по капітальному ремонту міжквартальних проїздів по  вул.Коновальця, 21</t>
  </si>
  <si>
    <t>Обсяг видатків на проведення капітального ремонту міжквартальних проїздів по  вул.Валовій, 45</t>
  </si>
  <si>
    <t>кількість кошторисної документації,яку планується виготовити для капітального ремонту міжквартальних проїздів по вул.Валовій, 45</t>
  </si>
  <si>
    <t xml:space="preserve">площа міжквартальних проїздів  по вул.Валовій, 45, де  планується провести капітальний ремонт </t>
  </si>
  <si>
    <t>середня вартість виготовлення 1 проекту на капітальний ремонт міжквартальних проїздів по  вул.Валовій, 45</t>
  </si>
  <si>
    <t>середня вартість капітального ремонту 1 м2 міжквартальних проїздів  по  вул.Валовій, 45</t>
  </si>
  <si>
    <t>відсоток виконання завдання по капітальному ремонту міжквартальних проїздів по  вул.Валовій, 45</t>
  </si>
  <si>
    <t>9.3.35.Провести капітальний ремонт міжквартальних проїздів по  вул.Валовій, 45 м.Коломиї</t>
  </si>
  <si>
    <t>9.3.36.Провести капітальний ремонт міжквартальних проїздів по  вул.Заньковецької, 1 в м.Коломиї</t>
  </si>
  <si>
    <t>Обсяг видатків на проведення капітального ремонту міжквартальних проїздів по  вул.Заньковецької, 1</t>
  </si>
  <si>
    <t>кількість кошторисної документації,яку планується виготовити для капітального ремонту міжквартальних проїздів по вул.Заньковецької, 1</t>
  </si>
  <si>
    <t xml:space="preserve">площа міжквартальних проїздів  по вул.Заньковецької, 1, де  планується провести капітальний ремонт </t>
  </si>
  <si>
    <t>середня вартість виготовлення 1 проекту на капітальний ремонт міжквартальних проїздів по  вул.Заньковецької, 1</t>
  </si>
  <si>
    <t>середня вартість капітального ремонту 1 м2 міжквартальних проїздів  по  вул.Заньковецької, 1</t>
  </si>
  <si>
    <t>відсоток виконання завдання по капітальному ремонту міжквартальних проїздів по  вул.Заньковецької, 1</t>
  </si>
  <si>
    <t>9.4.6.Капітальний ремонт дощової каналізації по вул. Дмитра Яворницького, 26 в м. Коломиї</t>
  </si>
  <si>
    <t xml:space="preserve"> Обсяг видатків на капітальний ремонт спортивного майданчика по вул.Мазепи, 262 в м.Коломиї</t>
  </si>
  <si>
    <t>9.7.10.Провести капітальний ремонт мереж зовнішнього  освітлення спортивного майданчика в  с. Саджавка</t>
  </si>
  <si>
    <t>Обсяг видатків на капітальний ремонт мереж зовнішнього  освітлення спортивного майданчика в  с. Саджавка</t>
  </si>
  <si>
    <r>
      <t>середня вартість капітального ремонту 1 м</t>
    </r>
    <r>
      <rPr>
        <sz val="10"/>
        <color indexed="8"/>
        <rFont val="Times New Roman"/>
        <family val="1"/>
        <charset val="204"/>
      </rPr>
      <t xml:space="preserve"> мереж зовнішнього  освітлення спортивного майданчика в  с. Саджавка </t>
    </r>
  </si>
  <si>
    <t>відсоток виконання завдання по капітальному ремонту мереж зовнішнього  освітлення спортивного майданчика в  с. Саджавка</t>
  </si>
  <si>
    <t>протяжність мережі зовнішнього  освітлення спортивного майданчика в  с. Саджавка,  де  планується провести капітальний ремонт</t>
  </si>
  <si>
    <t>Начальник фінансового управління</t>
  </si>
  <si>
    <t>Ганна БАКАЙ</t>
  </si>
  <si>
    <r>
      <t>Обсяг бюджетних призначень / бюджетних асигнувань - _</t>
    </r>
    <r>
      <rPr>
        <b/>
        <u/>
        <sz val="12"/>
        <rFont val="Times New Roman"/>
        <family val="1"/>
        <charset val="204"/>
      </rPr>
      <t xml:space="preserve">101 929 545,00 </t>
    </r>
    <r>
      <rPr>
        <sz val="12"/>
        <color indexed="8"/>
        <rFont val="Times New Roman"/>
        <family val="1"/>
        <charset val="204"/>
      </rPr>
      <t>гривень, у тому числі загального фонду - _</t>
    </r>
    <r>
      <rPr>
        <sz val="12"/>
        <color indexed="10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50 432 158,00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гривень та спеціального фонду -  </t>
    </r>
    <r>
      <rPr>
        <b/>
        <u/>
        <sz val="12"/>
        <color indexed="8"/>
        <rFont val="Times New Roman"/>
        <family val="1"/>
        <charset val="204"/>
      </rPr>
      <t>51 497 387,00</t>
    </r>
    <r>
      <rPr>
        <sz val="12"/>
        <color indexed="8"/>
        <rFont val="Times New Roman"/>
        <family val="1"/>
        <charset val="204"/>
      </rPr>
      <t xml:space="preserve"> гривень.</t>
    </r>
  </si>
  <si>
    <t xml:space="preserve">    </t>
  </si>
  <si>
    <t>Обсяг видатків на проведення капітального ремонту міжквартальних проїздів по вул.Січових Стрільців, 33</t>
  </si>
  <si>
    <t>відсоток виконання завдання по капітальному ремонту міжквартальних проїздів по вул.Січових Стрільців, 33</t>
  </si>
  <si>
    <t>кількість кошторисної документації,яку планується виготовити для капітального ремонту міжквартальних проїздів по вул.Січових Стрільців, 33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</si>
  <si>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</si>
  <si>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</si>
  <si>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</si>
  <si>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протяжність кабелів,які планується прокласти в траншеї</t>
  </si>
  <si>
    <t>середня вартість прокладки 1м кабеля в траншеї</t>
  </si>
  <si>
    <t>обсяг видатків на технічне обслуговування</t>
  </si>
  <si>
    <t>обсяг видатків на обслуговування приладів обліку електричної енергії</t>
  </si>
  <si>
    <t>Коломийської ОТГ на 2021-2025 рік", рішення міської ради від 24.12.2020 року № 125-4/2020-4 «Про бюджет Коломийської міської територіальної громади на 2021 рік (09530000000)»; рішення міської ради від 22.02.2021 року №314-9/2021 "Про уточнення бюджету Коломийської міської територіальної громади на 2021 рік (09530000000)", наказ управлінння комунального господарства від 15.03.2021 року №10-о "Про затвердження плану видатків по КПКВК 3116030 "Організація благоустрою населених пунктів" у новій редакції"; рішення міської ради від 25.03.2021 року   № 446-11/2021 "Про уточнення бюджету Коломийської міської територіальної громади на 2021 рік (09530000000)"; рішення міської ради від 08.04.2021 року   № 467-11/2021 "Про уточнення бюджету Коломийської міської територіальної громади на 2021 рік (09530000000)", наказ управління  комунального господарства від 26.04.2021 року №20 "Про затвердження плану видатків по КПКВК 3116030 "Організація благоустрою населених пунктів" у новій редакції"</t>
  </si>
  <si>
    <t>обсяг видатків на ремонт мереж вуличного освітлення (прокладання кабелів в траншеї) по вул.Міцкевича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</si>
</sst>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9" fillId="0" borderId="0" xfId="0" applyFont="1" applyBorder="1" applyAlignment="1"/>
    <xf numFmtId="0" fontId="18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0" borderId="0" xfId="0" applyFont="1" applyAlignment="1">
      <alignment horizontal="center" vertical="top" wrapText="1"/>
    </xf>
    <xf numFmtId="0" fontId="0" fillId="0" borderId="1" xfId="0" applyBorder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top"/>
    </xf>
    <xf numFmtId="0" fontId="2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top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6" fillId="0" borderId="0" xfId="0" applyFont="1"/>
    <xf numFmtId="0" fontId="19" fillId="2" borderId="0" xfId="0" applyFont="1" applyFill="1"/>
    <xf numFmtId="4" fontId="19" fillId="2" borderId="0" xfId="0" applyNumberFormat="1" applyFont="1" applyFill="1"/>
    <xf numFmtId="3" fontId="19" fillId="2" borderId="0" xfId="0" applyNumberFormat="1" applyFont="1" applyFill="1"/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vertical="top" wrapText="1"/>
    </xf>
    <xf numFmtId="0" fontId="28" fillId="2" borderId="3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vertical="top" wrapText="1"/>
    </xf>
    <xf numFmtId="0" fontId="27" fillId="2" borderId="0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27" fillId="2" borderId="1" xfId="0" applyNumberFormat="1" applyFont="1" applyFill="1" applyBorder="1" applyAlignment="1">
      <alignment horizontal="right" wrapText="1"/>
    </xf>
    <xf numFmtId="49" fontId="27" fillId="2" borderId="1" xfId="0" applyNumberFormat="1" applyFont="1" applyFill="1" applyBorder="1" applyAlignment="1">
      <alignment horizontal="center" wrapText="1"/>
    </xf>
    <xf numFmtId="0" fontId="28" fillId="2" borderId="0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0" xfId="0" applyFont="1" applyFill="1"/>
    <xf numFmtId="0" fontId="22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shrinkToFit="1"/>
    </xf>
    <xf numFmtId="4" fontId="18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shrinkToFit="1"/>
    </xf>
    <xf numFmtId="3" fontId="18" fillId="2" borderId="2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shrinkToFit="1"/>
    </xf>
    <xf numFmtId="4" fontId="25" fillId="2" borderId="2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2" xfId="0" applyFont="1" applyFill="1" applyBorder="1" applyAlignment="1">
      <alignment vertical="center" wrapText="1"/>
    </xf>
    <xf numFmtId="3" fontId="18" fillId="2" borderId="2" xfId="0" applyNumberFormat="1" applyFont="1" applyFill="1" applyBorder="1" applyAlignment="1">
      <alignment vertical="center" wrapText="1"/>
    </xf>
    <xf numFmtId="3" fontId="25" fillId="2" borderId="2" xfId="0" applyNumberFormat="1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9" fillId="2" borderId="0" xfId="0" applyFont="1" applyFill="1" applyBorder="1" applyAlignment="1"/>
    <xf numFmtId="0" fontId="19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top" wrapText="1"/>
    </xf>
    <xf numFmtId="0" fontId="23" fillId="2" borderId="0" xfId="0" applyFont="1" applyFill="1"/>
    <xf numFmtId="0" fontId="19" fillId="2" borderId="2" xfId="0" applyFont="1" applyFill="1" applyBorder="1"/>
    <xf numFmtId="1" fontId="18" fillId="2" borderId="2" xfId="0" applyNumberFormat="1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/>
    <xf numFmtId="0" fontId="1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top" wrapText="1"/>
    </xf>
    <xf numFmtId="0" fontId="19" fillId="3" borderId="0" xfId="0" applyFont="1" applyFill="1"/>
    <xf numFmtId="0" fontId="7" fillId="2" borderId="2" xfId="0" applyFont="1" applyFill="1" applyBorder="1" applyAlignment="1">
      <alignment horizontal="center" vertical="center" shrinkToFit="1"/>
    </xf>
    <xf numFmtId="3" fontId="7" fillId="2" borderId="2" xfId="0" applyNumberFormat="1" applyFont="1" applyFill="1" applyBorder="1" applyAlignment="1">
      <alignment horizontal="center" vertical="center" shrinkToFit="1"/>
    </xf>
    <xf numFmtId="165" fontId="1" fillId="2" borderId="2" xfId="0" applyNumberFormat="1" applyFont="1" applyFill="1" applyBorder="1" applyAlignment="1">
      <alignment horizontal="center" vertical="center" shrinkToFit="1"/>
    </xf>
    <xf numFmtId="3" fontId="32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shrinkToFit="1"/>
    </xf>
    <xf numFmtId="4" fontId="32" fillId="2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vertical="center"/>
    </xf>
    <xf numFmtId="0" fontId="9" fillId="0" borderId="0" xfId="0" applyFont="1" applyAlignment="1"/>
    <xf numFmtId="0" fontId="19" fillId="2" borderId="0" xfId="0" applyFont="1" applyFill="1" applyAlignment="1">
      <alignment vertical="top"/>
    </xf>
    <xf numFmtId="0" fontId="1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7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41" fillId="2" borderId="2" xfId="0" applyFont="1" applyFill="1" applyBorder="1"/>
    <xf numFmtId="1" fontId="7" fillId="2" borderId="2" xfId="0" applyNumberFormat="1" applyFont="1" applyFill="1" applyBorder="1" applyAlignment="1">
      <alignment horizontal="center" vertical="center" wrapText="1"/>
    </xf>
    <xf numFmtId="3" fontId="2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/>
    <xf numFmtId="0" fontId="39" fillId="2" borderId="0" xfId="0" applyFont="1" applyFill="1"/>
    <xf numFmtId="0" fontId="9" fillId="0" borderId="0" xfId="0" applyFont="1" applyAlignment="1"/>
    <xf numFmtId="2" fontId="19" fillId="2" borderId="0" xfId="0" applyNumberFormat="1" applyFont="1" applyFill="1"/>
    <xf numFmtId="0" fontId="17" fillId="2" borderId="2" xfId="0" applyFont="1" applyFill="1" applyBorder="1" applyAlignment="1">
      <alignment horizontal="left" vertical="center" wrapText="1"/>
    </xf>
    <xf numFmtId="49" fontId="30" fillId="2" borderId="2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0" fontId="45" fillId="2" borderId="0" xfId="0" applyFont="1" applyFill="1" applyAlignment="1">
      <alignment horizontal="center" vertical="center" wrapText="1"/>
    </xf>
    <xf numFmtId="0" fontId="49" fillId="2" borderId="0" xfId="0" applyFont="1" applyFill="1"/>
    <xf numFmtId="4" fontId="19" fillId="4" borderId="0" xfId="0" applyNumberFormat="1" applyFont="1" applyFill="1"/>
    <xf numFmtId="0" fontId="19" fillId="4" borderId="0" xfId="0" applyFont="1" applyFill="1"/>
    <xf numFmtId="0" fontId="33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shrinkToFit="1"/>
    </xf>
    <xf numFmtId="2" fontId="1" fillId="3" borderId="2" xfId="0" applyNumberFormat="1" applyFont="1" applyFill="1" applyBorder="1" applyAlignment="1">
      <alignment horizontal="center" vertical="center" shrinkToFit="1"/>
    </xf>
    <xf numFmtId="0" fontId="30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shrinkToFit="1"/>
    </xf>
    <xf numFmtId="164" fontId="18" fillId="3" borderId="2" xfId="0" applyNumberFormat="1" applyFont="1" applyFill="1" applyBorder="1" applyAlignment="1">
      <alignment horizontal="center" vertical="center" wrapText="1"/>
    </xf>
    <xf numFmtId="4" fontId="32" fillId="3" borderId="2" xfId="0" applyNumberFormat="1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4" fontId="1" fillId="3" borderId="2" xfId="0" applyNumberFormat="1" applyFont="1" applyFill="1" applyBorder="1" applyAlignment="1">
      <alignment horizontal="center" vertical="center" shrinkToFit="1"/>
    </xf>
    <xf numFmtId="4" fontId="7" fillId="3" borderId="2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20" fillId="0" borderId="3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18" fillId="0" borderId="0" xfId="0" applyFont="1" applyAlignment="1">
      <alignment horizontal="left" wrapText="1"/>
    </xf>
    <xf numFmtId="0" fontId="19" fillId="0" borderId="1" xfId="0" applyFont="1" applyBorder="1" applyAlignment="1">
      <alignment horizontal="center"/>
    </xf>
    <xf numFmtId="0" fontId="33" fillId="2" borderId="7" xfId="0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vertical="center" wrapText="1"/>
    </xf>
    <xf numFmtId="0" fontId="36" fillId="2" borderId="6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left" vertical="center" wrapText="1"/>
    </xf>
    <xf numFmtId="0" fontId="47" fillId="2" borderId="6" xfId="0" applyFont="1" applyFill="1" applyBorder="1" applyAlignment="1">
      <alignment horizontal="left" vertical="center" wrapText="1"/>
    </xf>
    <xf numFmtId="0" fontId="48" fillId="2" borderId="2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left" vertical="center" wrapText="1"/>
    </xf>
    <xf numFmtId="0" fontId="36" fillId="2" borderId="6" xfId="0" applyFont="1" applyFill="1" applyBorder="1" applyAlignment="1">
      <alignment wrapText="1"/>
    </xf>
    <xf numFmtId="0" fontId="33" fillId="2" borderId="7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50" fillId="2" borderId="7" xfId="0" applyFont="1" applyFill="1" applyBorder="1" applyAlignment="1">
      <alignment horizontal="left" vertical="center" wrapText="1"/>
    </xf>
    <xf numFmtId="0" fontId="50" fillId="2" borderId="4" xfId="0" applyFont="1" applyFill="1" applyBorder="1" applyAlignment="1">
      <alignment horizontal="left" vertical="center" wrapText="1"/>
    </xf>
    <xf numFmtId="0" fontId="50" fillId="2" borderId="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left" vertical="center" wrapText="1"/>
    </xf>
    <xf numFmtId="2" fontId="36" fillId="2" borderId="2" xfId="0" applyNumberFormat="1" applyFont="1" applyFill="1" applyBorder="1" applyAlignment="1">
      <alignment horizontal="left" vertical="center" wrapText="1"/>
    </xf>
    <xf numFmtId="0" fontId="36" fillId="2" borderId="6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43" fillId="2" borderId="6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42" fillId="2" borderId="7" xfId="0" applyFont="1" applyFill="1" applyBorder="1" applyAlignment="1">
      <alignment horizontal="left" vertical="center" wrapText="1"/>
    </xf>
    <xf numFmtId="0" fontId="43" fillId="2" borderId="6" xfId="0" applyFont="1" applyFill="1" applyBorder="1" applyAlignment="1">
      <alignment vertical="center"/>
    </xf>
    <xf numFmtId="0" fontId="3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/>
    <xf numFmtId="0" fontId="42" fillId="2" borderId="2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35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wrapText="1"/>
    </xf>
    <xf numFmtId="0" fontId="28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wrapText="1"/>
    </xf>
    <xf numFmtId="0" fontId="34" fillId="2" borderId="1" xfId="0" applyFont="1" applyFill="1" applyBorder="1" applyAlignment="1">
      <alignment horizontal="right"/>
    </xf>
    <xf numFmtId="0" fontId="20" fillId="2" borderId="3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44" fillId="2" borderId="0" xfId="0" applyFont="1" applyFill="1" applyAlignment="1">
      <alignment horizontal="left" vertical="center"/>
    </xf>
    <xf numFmtId="0" fontId="33" fillId="2" borderId="7" xfId="0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4" fontId="17" fillId="2" borderId="7" xfId="0" applyNumberFormat="1" applyFont="1" applyFill="1" applyBorder="1" applyAlignment="1">
      <alignment horizontal="left" vertical="center" wrapText="1"/>
    </xf>
    <xf numFmtId="4" fontId="17" fillId="2" borderId="6" xfId="0" applyNumberFormat="1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top" wrapText="1"/>
    </xf>
    <xf numFmtId="0" fontId="11" fillId="2" borderId="2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/>
    <xf numFmtId="0" fontId="27" fillId="2" borderId="7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32" fillId="2" borderId="0" xfId="0" applyFont="1" applyFill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43" fillId="2" borderId="2" xfId="0" applyFont="1" applyFill="1" applyBorder="1" applyAlignment="1">
      <alignment wrapText="1"/>
    </xf>
    <xf numFmtId="0" fontId="35" fillId="2" borderId="7" xfId="0" applyFont="1" applyFill="1" applyBorder="1" applyAlignment="1">
      <alignment horizontal="left" vertical="center" wrapText="1"/>
    </xf>
    <xf numFmtId="2" fontId="15" fillId="2" borderId="0" xfId="0" applyNumberFormat="1" applyFont="1" applyFill="1" applyAlignment="1">
      <alignment horizontal="left" vertical="center" wrapText="1"/>
    </xf>
    <xf numFmtId="2" fontId="32" fillId="2" borderId="0" xfId="0" applyNumberFormat="1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0" fillId="0" borderId="1" xfId="0" applyBorder="1"/>
    <xf numFmtId="0" fontId="20" fillId="0" borderId="0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0" fontId="28" fillId="0" borderId="3" xfId="0" applyFont="1" applyBorder="1" applyAlignment="1">
      <alignment horizontal="center" vertical="top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87;&#1110;&#1083;&#1100;&#1085;&#1072;/2020/&#1055;&#1088;&#1086;&#1077;&#1082;&#1090;%202020/&#1047;&#1072;&#1087;&#1080;&#1090;&#1080;%20&#1085;&#1086;&#1074;&#1077;/31160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 24.09.2019"/>
      <sheetName val="після 24.09.2019"/>
      <sheetName val="Лист2"/>
      <sheetName val="Лист3"/>
    </sheetNames>
    <sheetDataSet>
      <sheetData sheetId="0" refreshError="1"/>
      <sheetData sheetId="1" refreshError="1">
        <row r="214">
          <cell r="K214">
            <v>123.3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205" t="s">
        <v>98</v>
      </c>
      <c r="G1" s="206"/>
    </row>
    <row r="2" spans="1:7">
      <c r="F2" s="206"/>
      <c r="G2" s="206"/>
    </row>
    <row r="3" spans="1:7" ht="32.25" customHeight="1">
      <c r="F3" s="206"/>
      <c r="G3" s="206"/>
    </row>
    <row r="4" spans="1:7" ht="15.75">
      <c r="A4" s="1"/>
      <c r="E4" s="1" t="s">
        <v>0</v>
      </c>
    </row>
    <row r="5" spans="1:7" ht="15.75">
      <c r="A5" s="1"/>
      <c r="E5" s="207" t="s">
        <v>1</v>
      </c>
      <c r="F5" s="207"/>
      <c r="G5" s="207"/>
    </row>
    <row r="6" spans="1:7" ht="15.75">
      <c r="A6" s="1"/>
      <c r="B6" s="1"/>
      <c r="E6" s="208"/>
      <c r="F6" s="208"/>
      <c r="G6" s="208"/>
    </row>
    <row r="7" spans="1:7" ht="15" customHeight="1">
      <c r="A7" s="1"/>
      <c r="E7" s="200" t="s">
        <v>2</v>
      </c>
      <c r="F7" s="200"/>
      <c r="G7" s="200"/>
    </row>
    <row r="8" spans="1:7" ht="15.75">
      <c r="A8" s="1"/>
      <c r="B8" s="1"/>
      <c r="E8" s="208"/>
      <c r="F8" s="208"/>
      <c r="G8" s="208"/>
    </row>
    <row r="9" spans="1:7" ht="15" customHeight="1">
      <c r="A9" s="1"/>
      <c r="E9" s="200"/>
      <c r="F9" s="200"/>
      <c r="G9" s="200"/>
    </row>
    <row r="10" spans="1:7" ht="15.75">
      <c r="A10" s="1"/>
      <c r="E10" s="198" t="s">
        <v>3</v>
      </c>
      <c r="F10" s="198"/>
      <c r="G10" s="198"/>
    </row>
    <row r="13" spans="1:7" ht="15.75">
      <c r="A13" s="204" t="s">
        <v>4</v>
      </c>
      <c r="B13" s="204"/>
      <c r="C13" s="204"/>
      <c r="D13" s="204"/>
      <c r="E13" s="204"/>
      <c r="F13" s="204"/>
      <c r="G13" s="204"/>
    </row>
    <row r="14" spans="1:7" ht="15.75">
      <c r="A14" s="204" t="s">
        <v>5</v>
      </c>
      <c r="B14" s="204"/>
      <c r="C14" s="204"/>
      <c r="D14" s="204"/>
      <c r="E14" s="204"/>
      <c r="F14" s="204"/>
      <c r="G14" s="204"/>
    </row>
    <row r="17" spans="1:7" ht="15.75">
      <c r="A17" s="195" t="s">
        <v>6</v>
      </c>
      <c r="B17" s="7"/>
      <c r="C17" s="195"/>
      <c r="D17" s="203"/>
      <c r="E17" s="203"/>
      <c r="F17" s="203"/>
      <c r="G17" s="203"/>
    </row>
    <row r="18" spans="1:7">
      <c r="A18" s="195"/>
      <c r="B18" s="8" t="s">
        <v>66</v>
      </c>
      <c r="C18" s="195"/>
      <c r="D18" s="202" t="s">
        <v>42</v>
      </c>
      <c r="E18" s="202"/>
      <c r="F18" s="202"/>
      <c r="G18" s="202"/>
    </row>
    <row r="19" spans="1:7" ht="15.75">
      <c r="A19" s="195" t="s">
        <v>8</v>
      </c>
      <c r="B19" s="7"/>
      <c r="C19" s="195"/>
      <c r="D19" s="201"/>
      <c r="E19" s="201"/>
      <c r="F19" s="201"/>
      <c r="G19" s="201"/>
    </row>
    <row r="20" spans="1:7">
      <c r="A20" s="195"/>
      <c r="B20" s="8" t="s">
        <v>66</v>
      </c>
      <c r="C20" s="195"/>
      <c r="D20" s="200" t="s">
        <v>41</v>
      </c>
      <c r="E20" s="200"/>
      <c r="F20" s="200"/>
      <c r="G20" s="200"/>
    </row>
    <row r="21" spans="1:7" ht="15.75">
      <c r="A21" s="195" t="s">
        <v>9</v>
      </c>
      <c r="B21" s="7"/>
      <c r="C21" s="7"/>
      <c r="D21" s="203"/>
      <c r="E21" s="203"/>
      <c r="F21" s="203"/>
      <c r="G21" s="203"/>
    </row>
    <row r="22" spans="1:7">
      <c r="A22" s="195"/>
      <c r="B22" s="9" t="s">
        <v>66</v>
      </c>
      <c r="C22" s="9" t="s">
        <v>10</v>
      </c>
      <c r="D22" s="202" t="s">
        <v>43</v>
      </c>
      <c r="E22" s="202"/>
      <c r="F22" s="202"/>
      <c r="G22" s="202"/>
    </row>
    <row r="23" spans="1:7" ht="42" customHeight="1">
      <c r="A23" s="3" t="s">
        <v>11</v>
      </c>
      <c r="B23" s="198" t="s">
        <v>12</v>
      </c>
      <c r="C23" s="198"/>
      <c r="D23" s="198"/>
      <c r="E23" s="198"/>
      <c r="F23" s="198"/>
      <c r="G23" s="198"/>
    </row>
    <row r="24" spans="1:7" ht="15.75">
      <c r="A24" s="3" t="s">
        <v>13</v>
      </c>
      <c r="B24" s="198" t="s">
        <v>14</v>
      </c>
      <c r="C24" s="198"/>
      <c r="D24" s="198"/>
      <c r="E24" s="198"/>
      <c r="F24" s="198"/>
      <c r="G24" s="198"/>
    </row>
    <row r="25" spans="1:7" ht="15.75">
      <c r="A25" s="3" t="s">
        <v>15</v>
      </c>
      <c r="B25" s="198" t="s">
        <v>67</v>
      </c>
      <c r="C25" s="198"/>
      <c r="D25" s="198"/>
      <c r="E25" s="198"/>
      <c r="F25" s="198"/>
      <c r="G25" s="198"/>
    </row>
    <row r="26" spans="1:7" ht="15.75">
      <c r="A26" s="4"/>
    </row>
    <row r="27" spans="1:7" ht="15.75">
      <c r="A27" s="10" t="s">
        <v>17</v>
      </c>
      <c r="B27" s="196" t="s">
        <v>68</v>
      </c>
      <c r="C27" s="196"/>
      <c r="D27" s="196"/>
      <c r="E27" s="196"/>
      <c r="F27" s="196"/>
      <c r="G27" s="196"/>
    </row>
    <row r="28" spans="1:7" ht="15.75">
      <c r="A28" s="10"/>
      <c r="B28" s="196"/>
      <c r="C28" s="196"/>
      <c r="D28" s="196"/>
      <c r="E28" s="196"/>
      <c r="F28" s="196"/>
      <c r="G28" s="196"/>
    </row>
    <row r="29" spans="1:7" ht="15.75">
      <c r="A29" s="10"/>
      <c r="B29" s="196"/>
      <c r="C29" s="196"/>
      <c r="D29" s="196"/>
      <c r="E29" s="196"/>
      <c r="F29" s="196"/>
      <c r="G29" s="196"/>
    </row>
    <row r="30" spans="1:7" ht="15.75">
      <c r="A30" s="10"/>
      <c r="B30" s="196"/>
      <c r="C30" s="196"/>
      <c r="D30" s="196"/>
      <c r="E30" s="196"/>
      <c r="F30" s="196"/>
      <c r="G30" s="196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98" t="s">
        <v>70</v>
      </c>
      <c r="C33" s="198"/>
      <c r="D33" s="198"/>
      <c r="E33" s="198"/>
      <c r="F33" s="198"/>
      <c r="G33" s="198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96" t="s">
        <v>18</v>
      </c>
      <c r="C35" s="196"/>
      <c r="D35" s="196"/>
      <c r="E35" s="196"/>
      <c r="F35" s="196"/>
      <c r="G35" s="196"/>
    </row>
    <row r="36" spans="1:7" ht="15.75">
      <c r="A36" s="19"/>
      <c r="B36" s="196"/>
      <c r="C36" s="196"/>
      <c r="D36" s="196"/>
      <c r="E36" s="196"/>
      <c r="F36" s="196"/>
      <c r="G36" s="196"/>
    </row>
    <row r="37" spans="1:7" ht="15.75">
      <c r="A37" s="19"/>
      <c r="B37" s="196"/>
      <c r="C37" s="196"/>
      <c r="D37" s="196"/>
      <c r="E37" s="196"/>
      <c r="F37" s="196"/>
      <c r="G37" s="196"/>
    </row>
    <row r="38" spans="1:7" ht="15.75">
      <c r="A38" s="19"/>
      <c r="B38" s="196"/>
      <c r="C38" s="196"/>
      <c r="D38" s="196"/>
      <c r="E38" s="196"/>
      <c r="F38" s="196"/>
      <c r="G38" s="196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96" t="s">
        <v>25</v>
      </c>
      <c r="B47" s="196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95" t="s">
        <v>29</v>
      </c>
      <c r="B50" s="198" t="s">
        <v>27</v>
      </c>
      <c r="C50" s="198"/>
      <c r="D50" s="198"/>
      <c r="E50" s="198"/>
      <c r="F50" s="198"/>
      <c r="G50" s="198"/>
    </row>
    <row r="51" spans="1:7" ht="15.75">
      <c r="A51" s="195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96" t="s">
        <v>25</v>
      </c>
      <c r="B58" s="196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98" t="s">
        <v>30</v>
      </c>
      <c r="C61" s="198"/>
      <c r="D61" s="198"/>
      <c r="E61" s="198"/>
      <c r="F61" s="198"/>
      <c r="G61" s="198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97" t="s">
        <v>73</v>
      </c>
      <c r="B76" s="197"/>
      <c r="C76" s="197"/>
      <c r="D76" s="1"/>
    </row>
    <row r="77" spans="1:7" ht="32.25" customHeight="1">
      <c r="A77" s="197"/>
      <c r="B77" s="197"/>
      <c r="C77" s="197"/>
      <c r="D77" s="13"/>
      <c r="E77" s="12"/>
      <c r="F77" s="199"/>
      <c r="G77" s="199"/>
    </row>
    <row r="78" spans="1:7" ht="15.75">
      <c r="A78" s="6"/>
      <c r="B78" s="3"/>
      <c r="D78" s="8" t="s">
        <v>38</v>
      </c>
      <c r="F78" s="200" t="s">
        <v>78</v>
      </c>
      <c r="G78" s="200"/>
    </row>
    <row r="79" spans="1:7" ht="15.75">
      <c r="A79" s="198" t="s">
        <v>40</v>
      </c>
      <c r="B79" s="198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98" t="s">
        <v>75</v>
      </c>
      <c r="B81" s="198"/>
      <c r="C81" s="198"/>
      <c r="D81" s="13"/>
      <c r="E81" s="12"/>
      <c r="F81" s="199"/>
      <c r="G81" s="199"/>
    </row>
    <row r="82" spans="1:7" ht="15.75">
      <c r="A82" s="1"/>
      <c r="B82" s="3"/>
      <c r="C82" s="3"/>
      <c r="D82" s="8" t="s">
        <v>38</v>
      </c>
      <c r="F82" s="200" t="s">
        <v>78</v>
      </c>
      <c r="G82" s="200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57"/>
  <sheetViews>
    <sheetView tabSelected="1" view="pageBreakPreview" topLeftCell="A1438" zoomScaleNormal="100" zoomScaleSheetLayoutView="100" zoomScalePageLayoutView="110" workbookViewId="0">
      <selection activeCell="C313" sqref="C313"/>
    </sheetView>
  </sheetViews>
  <sheetFormatPr defaultColWidth="21.625" defaultRowHeight="15"/>
  <cols>
    <col min="1" max="1" width="5.375" style="35" customWidth="1"/>
    <col min="2" max="2" width="37.375" style="35" customWidth="1"/>
    <col min="3" max="3" width="19.625" style="35" customWidth="1"/>
    <col min="4" max="5" width="21.625" style="35"/>
    <col min="6" max="6" width="18" style="35" customWidth="1"/>
    <col min="7" max="7" width="19.5" style="35" customWidth="1"/>
    <col min="8" max="9" width="13" style="35" customWidth="1"/>
    <col min="10" max="10" width="16" style="35" customWidth="1"/>
    <col min="11" max="16384" width="21.625" style="35"/>
  </cols>
  <sheetData>
    <row r="1" spans="1:7">
      <c r="F1" s="253" t="s">
        <v>98</v>
      </c>
      <c r="G1" s="254"/>
    </row>
    <row r="2" spans="1:7">
      <c r="F2" s="254"/>
      <c r="G2" s="254"/>
    </row>
    <row r="3" spans="1:7" ht="32.25" customHeight="1">
      <c r="F3" s="254"/>
      <c r="G3" s="254"/>
    </row>
    <row r="4" spans="1:7" ht="15.75">
      <c r="A4" s="39"/>
      <c r="E4" s="39" t="s">
        <v>0</v>
      </c>
    </row>
    <row r="5" spans="1:7" ht="15.75">
      <c r="A5" s="39"/>
      <c r="E5" s="255" t="s">
        <v>859</v>
      </c>
      <c r="F5" s="255"/>
      <c r="G5" s="255"/>
    </row>
    <row r="6" spans="1:7" ht="15.75">
      <c r="A6" s="39"/>
      <c r="B6" s="39"/>
      <c r="E6" s="256" t="s">
        <v>364</v>
      </c>
      <c r="F6" s="256"/>
      <c r="G6" s="256"/>
    </row>
    <row r="7" spans="1:7" ht="15" customHeight="1">
      <c r="A7" s="39"/>
      <c r="E7" s="257" t="s">
        <v>2</v>
      </c>
      <c r="F7" s="257"/>
      <c r="G7" s="257"/>
    </row>
    <row r="8" spans="1:7" ht="15.75">
      <c r="A8" s="39"/>
      <c r="B8" s="39"/>
      <c r="E8" s="258"/>
      <c r="F8" s="258"/>
      <c r="G8" s="258"/>
    </row>
    <row r="9" spans="1:7" ht="15" customHeight="1">
      <c r="A9" s="39"/>
      <c r="E9" s="257"/>
      <c r="F9" s="257"/>
      <c r="G9" s="257"/>
    </row>
    <row r="10" spans="1:7" s="5" customFormat="1" ht="15.75">
      <c r="A10" s="39"/>
      <c r="B10" s="35"/>
      <c r="C10" s="35"/>
      <c r="D10" s="35"/>
      <c r="E10" s="238" t="s">
        <v>949</v>
      </c>
      <c r="F10" s="238"/>
      <c r="G10" s="238"/>
    </row>
    <row r="13" spans="1:7" ht="15.75">
      <c r="A13" s="259" t="s">
        <v>4</v>
      </c>
      <c r="B13" s="259"/>
      <c r="C13" s="259"/>
      <c r="D13" s="259"/>
      <c r="E13" s="259"/>
      <c r="F13" s="259"/>
      <c r="G13" s="259"/>
    </row>
    <row r="14" spans="1:7" ht="15.75">
      <c r="A14" s="259" t="s">
        <v>503</v>
      </c>
      <c r="B14" s="259"/>
      <c r="C14" s="259"/>
      <c r="D14" s="259"/>
      <c r="E14" s="259"/>
      <c r="F14" s="259"/>
      <c r="G14" s="259"/>
    </row>
    <row r="17" spans="1:7" ht="15" customHeight="1">
      <c r="A17" s="40" t="s">
        <v>100</v>
      </c>
      <c r="B17" s="40">
        <v>3100000</v>
      </c>
      <c r="C17" s="40"/>
      <c r="D17" s="226" t="s">
        <v>110</v>
      </c>
      <c r="E17" s="226"/>
      <c r="F17" s="226"/>
      <c r="G17" s="41">
        <v>31692820</v>
      </c>
    </row>
    <row r="18" spans="1:7" ht="28.5" customHeight="1">
      <c r="A18" s="228" t="s">
        <v>108</v>
      </c>
      <c r="B18" s="228"/>
      <c r="C18" s="228"/>
      <c r="D18" s="229" t="s">
        <v>2</v>
      </c>
      <c r="E18" s="229"/>
      <c r="F18" s="42"/>
      <c r="G18" s="43" t="s">
        <v>101</v>
      </c>
    </row>
    <row r="19" spans="1:7" ht="20.25" customHeight="1">
      <c r="A19" s="44" t="s">
        <v>102</v>
      </c>
      <c r="B19" s="44">
        <v>3110000</v>
      </c>
      <c r="C19" s="44"/>
      <c r="D19" s="227" t="s">
        <v>110</v>
      </c>
      <c r="E19" s="227"/>
      <c r="F19" s="227"/>
      <c r="G19" s="41">
        <v>31692820</v>
      </c>
    </row>
    <row r="20" spans="1:7" ht="23.25" customHeight="1">
      <c r="A20" s="228" t="s">
        <v>104</v>
      </c>
      <c r="B20" s="228"/>
      <c r="C20" s="228"/>
      <c r="D20" s="271" t="s">
        <v>41</v>
      </c>
      <c r="E20" s="271"/>
      <c r="F20" s="42"/>
      <c r="G20" s="43" t="s">
        <v>101</v>
      </c>
    </row>
    <row r="21" spans="1:7">
      <c r="A21" s="45" t="s">
        <v>103</v>
      </c>
      <c r="B21" s="170">
        <v>3116030</v>
      </c>
      <c r="C21" s="46">
        <v>6030</v>
      </c>
      <c r="D21" s="47" t="s">
        <v>405</v>
      </c>
      <c r="E21" s="230" t="s">
        <v>111</v>
      </c>
      <c r="F21" s="230"/>
      <c r="G21" s="48" t="s">
        <v>490</v>
      </c>
    </row>
    <row r="22" spans="1:7" ht="56.25" customHeight="1">
      <c r="B22" s="49" t="s">
        <v>104</v>
      </c>
      <c r="C22" s="169" t="s">
        <v>105</v>
      </c>
      <c r="D22" s="42" t="s">
        <v>106</v>
      </c>
      <c r="E22" s="228" t="s">
        <v>109</v>
      </c>
      <c r="F22" s="228"/>
      <c r="G22" s="169" t="s">
        <v>107</v>
      </c>
    </row>
    <row r="23" spans="1:7" ht="42" customHeight="1">
      <c r="A23" s="174" t="s">
        <v>11</v>
      </c>
      <c r="B23" s="238" t="s">
        <v>1062</v>
      </c>
      <c r="C23" s="238"/>
      <c r="D23" s="238"/>
      <c r="E23" s="238"/>
      <c r="F23" s="238"/>
      <c r="G23" s="238"/>
    </row>
    <row r="24" spans="1:7" ht="74.25" customHeight="1">
      <c r="A24" s="50" t="s">
        <v>13</v>
      </c>
      <c r="B24" s="276" t="s">
        <v>950</v>
      </c>
      <c r="C24" s="276"/>
      <c r="D24" s="276"/>
      <c r="E24" s="276"/>
      <c r="F24" s="276"/>
      <c r="G24" s="276"/>
    </row>
    <row r="25" spans="1:7" ht="114.75" customHeight="1">
      <c r="A25" s="50"/>
      <c r="B25" s="281" t="s">
        <v>1074</v>
      </c>
      <c r="C25" s="282"/>
      <c r="D25" s="282"/>
      <c r="E25" s="282"/>
      <c r="F25" s="282"/>
      <c r="G25" s="282"/>
    </row>
    <row r="26" spans="1:7" ht="28.5" customHeight="1">
      <c r="A26" s="174" t="s">
        <v>15</v>
      </c>
      <c r="B26" s="238" t="s">
        <v>1063</v>
      </c>
      <c r="C26" s="238"/>
      <c r="D26" s="238"/>
      <c r="E26" s="238"/>
      <c r="F26" s="238"/>
      <c r="G26" s="238"/>
    </row>
    <row r="27" spans="1:7" ht="13.5" hidden="1" customHeight="1">
      <c r="A27" s="51"/>
    </row>
    <row r="28" spans="1:7" ht="15.75">
      <c r="A28" s="52" t="s">
        <v>17</v>
      </c>
      <c r="B28" s="234" t="s">
        <v>68</v>
      </c>
      <c r="C28" s="234"/>
      <c r="D28" s="234"/>
      <c r="E28" s="234"/>
      <c r="F28" s="234"/>
      <c r="G28" s="234"/>
    </row>
    <row r="29" spans="1:7" ht="24" customHeight="1">
      <c r="A29" s="171">
        <v>1</v>
      </c>
      <c r="B29" s="268" t="s">
        <v>112</v>
      </c>
      <c r="C29" s="269"/>
      <c r="D29" s="269"/>
      <c r="E29" s="269"/>
      <c r="F29" s="269"/>
      <c r="G29" s="270"/>
    </row>
    <row r="30" spans="1:7" ht="11.25" hidden="1" customHeight="1">
      <c r="A30" s="51"/>
    </row>
    <row r="31" spans="1:7" s="38" customFormat="1" ht="25.5" customHeight="1">
      <c r="A31" s="53" t="s">
        <v>16</v>
      </c>
      <c r="B31" s="38" t="s">
        <v>113</v>
      </c>
      <c r="C31" s="38" t="s">
        <v>114</v>
      </c>
    </row>
    <row r="32" spans="1:7" ht="21.75" customHeight="1">
      <c r="A32" s="54" t="s">
        <v>19</v>
      </c>
      <c r="B32" s="255" t="s">
        <v>70</v>
      </c>
      <c r="C32" s="255"/>
      <c r="D32" s="255"/>
      <c r="E32" s="255"/>
      <c r="F32" s="255"/>
      <c r="G32" s="255"/>
    </row>
    <row r="33" spans="1:7" ht="10.5" customHeight="1">
      <c r="A33" s="174"/>
      <c r="B33" s="172"/>
      <c r="C33" s="172"/>
      <c r="D33" s="172"/>
      <c r="E33" s="172"/>
      <c r="F33" s="172"/>
      <c r="G33" s="172"/>
    </row>
    <row r="34" spans="1:7" ht="26.25" customHeight="1">
      <c r="A34" s="52" t="s">
        <v>17</v>
      </c>
      <c r="B34" s="234" t="s">
        <v>18</v>
      </c>
      <c r="C34" s="234"/>
      <c r="D34" s="234"/>
      <c r="E34" s="234"/>
      <c r="F34" s="234"/>
      <c r="G34" s="234"/>
    </row>
    <row r="35" spans="1:7" ht="15.75" customHeight="1">
      <c r="A35" s="84">
        <v>1</v>
      </c>
      <c r="B35" s="231" t="s">
        <v>115</v>
      </c>
      <c r="C35" s="232"/>
      <c r="D35" s="232"/>
      <c r="E35" s="232"/>
      <c r="F35" s="232"/>
      <c r="G35" s="233"/>
    </row>
    <row r="36" spans="1:7" ht="15.75" customHeight="1">
      <c r="A36" s="84">
        <v>2</v>
      </c>
      <c r="B36" s="231" t="s">
        <v>116</v>
      </c>
      <c r="C36" s="232"/>
      <c r="D36" s="232"/>
      <c r="E36" s="232"/>
      <c r="F36" s="232"/>
      <c r="G36" s="233"/>
    </row>
    <row r="37" spans="1:7" ht="15.75" customHeight="1">
      <c r="A37" s="84">
        <v>3</v>
      </c>
      <c r="B37" s="231" t="s">
        <v>117</v>
      </c>
      <c r="C37" s="232"/>
      <c r="D37" s="232"/>
      <c r="E37" s="232"/>
      <c r="F37" s="232"/>
      <c r="G37" s="233"/>
    </row>
    <row r="38" spans="1:7" ht="15.75" customHeight="1">
      <c r="A38" s="84">
        <v>4</v>
      </c>
      <c r="B38" s="231" t="s">
        <v>118</v>
      </c>
      <c r="C38" s="232"/>
      <c r="D38" s="232"/>
      <c r="E38" s="232"/>
      <c r="F38" s="232"/>
      <c r="G38" s="233"/>
    </row>
    <row r="39" spans="1:7" ht="15.75" customHeight="1">
      <c r="A39" s="84">
        <v>5</v>
      </c>
      <c r="B39" s="231" t="s">
        <v>119</v>
      </c>
      <c r="C39" s="232"/>
      <c r="D39" s="232"/>
      <c r="E39" s="232"/>
      <c r="F39" s="232"/>
      <c r="G39" s="233"/>
    </row>
    <row r="40" spans="1:7" ht="15.75" customHeight="1">
      <c r="A40" s="84">
        <v>6</v>
      </c>
      <c r="B40" s="231" t="s">
        <v>120</v>
      </c>
      <c r="C40" s="232"/>
      <c r="D40" s="232"/>
      <c r="E40" s="232"/>
      <c r="F40" s="232"/>
      <c r="G40" s="233"/>
    </row>
    <row r="41" spans="1:7" ht="15.75" customHeight="1">
      <c r="A41" s="84">
        <v>7</v>
      </c>
      <c r="B41" s="231" t="s">
        <v>121</v>
      </c>
      <c r="C41" s="232"/>
      <c r="D41" s="232"/>
      <c r="E41" s="232"/>
      <c r="F41" s="232"/>
      <c r="G41" s="233"/>
    </row>
    <row r="42" spans="1:7" ht="15.75" customHeight="1">
      <c r="A42" s="84">
        <v>8</v>
      </c>
      <c r="B42" s="231" t="s">
        <v>122</v>
      </c>
      <c r="C42" s="232"/>
      <c r="D42" s="232"/>
      <c r="E42" s="232"/>
      <c r="F42" s="232"/>
      <c r="G42" s="233"/>
    </row>
    <row r="43" spans="1:7" ht="15.75" customHeight="1">
      <c r="A43" s="84">
        <v>9</v>
      </c>
      <c r="B43" s="231" t="s">
        <v>123</v>
      </c>
      <c r="C43" s="232"/>
      <c r="D43" s="232"/>
      <c r="E43" s="232"/>
      <c r="F43" s="232"/>
      <c r="G43" s="233"/>
    </row>
    <row r="44" spans="1:7" ht="14.25" customHeight="1">
      <c r="A44" s="174"/>
      <c r="B44" s="172"/>
      <c r="C44" s="172"/>
      <c r="D44" s="172"/>
      <c r="E44" s="172"/>
      <c r="F44" s="172"/>
      <c r="G44" s="172"/>
    </row>
    <row r="45" spans="1:7" ht="15" customHeight="1">
      <c r="A45" s="174" t="s">
        <v>26</v>
      </c>
      <c r="B45" s="55" t="s">
        <v>22</v>
      </c>
      <c r="C45" s="172"/>
      <c r="D45" s="172"/>
      <c r="E45" s="172"/>
      <c r="F45" s="172"/>
      <c r="G45" s="172"/>
    </row>
    <row r="46" spans="1:7" ht="15.75">
      <c r="A46" s="51"/>
      <c r="E46" s="56" t="s">
        <v>71</v>
      </c>
    </row>
    <row r="47" spans="1:7" ht="30" customHeight="1">
      <c r="A47" s="52" t="s">
        <v>17</v>
      </c>
      <c r="B47" s="234" t="s">
        <v>22</v>
      </c>
      <c r="C47" s="245"/>
      <c r="D47" s="171" t="s">
        <v>23</v>
      </c>
      <c r="E47" s="171" t="s">
        <v>24</v>
      </c>
      <c r="F47" s="171" t="s">
        <v>25</v>
      </c>
    </row>
    <row r="48" spans="1:7" ht="15.75">
      <c r="A48" s="171">
        <v>1</v>
      </c>
      <c r="B48" s="240">
        <v>2</v>
      </c>
      <c r="C48" s="241"/>
      <c r="D48" s="171">
        <v>3</v>
      </c>
      <c r="E48" s="171">
        <v>4</v>
      </c>
      <c r="F48" s="171">
        <v>5</v>
      </c>
    </row>
    <row r="49" spans="1:7" ht="30" customHeight="1">
      <c r="A49" s="57">
        <v>1</v>
      </c>
      <c r="B49" s="244" t="s">
        <v>124</v>
      </c>
      <c r="C49" s="245"/>
      <c r="D49" s="58">
        <f>E100</f>
        <v>9577650</v>
      </c>
      <c r="E49" s="171"/>
      <c r="F49" s="59">
        <f>D49+E49</f>
        <v>9577650</v>
      </c>
    </row>
    <row r="50" spans="1:7" ht="21" customHeight="1">
      <c r="A50" s="57">
        <v>2</v>
      </c>
      <c r="B50" s="274" t="s">
        <v>365</v>
      </c>
      <c r="C50" s="275"/>
      <c r="D50" s="241"/>
      <c r="E50" s="171"/>
      <c r="F50" s="59"/>
    </row>
    <row r="51" spans="1:7" ht="31.5" customHeight="1">
      <c r="A51" s="60"/>
      <c r="B51" s="251" t="s">
        <v>386</v>
      </c>
      <c r="C51" s="245"/>
      <c r="D51" s="193">
        <f>E136</f>
        <v>14422850</v>
      </c>
      <c r="E51" s="171"/>
      <c r="F51" s="59">
        <f>D51+E51</f>
        <v>14422850</v>
      </c>
    </row>
    <row r="52" spans="1:7" ht="15.75">
      <c r="A52" s="60"/>
      <c r="B52" s="251" t="s">
        <v>387</v>
      </c>
      <c r="C52" s="245"/>
      <c r="D52" s="61">
        <f>E163</f>
        <v>2550000</v>
      </c>
      <c r="E52" s="171"/>
      <c r="F52" s="62">
        <f>D52+E52</f>
        <v>2550000</v>
      </c>
    </row>
    <row r="53" spans="1:7" ht="34.5" customHeight="1">
      <c r="A53" s="60"/>
      <c r="B53" s="211" t="s">
        <v>899</v>
      </c>
      <c r="C53" s="212"/>
      <c r="D53" s="134">
        <f>E198</f>
        <v>250000</v>
      </c>
      <c r="E53" s="171"/>
      <c r="F53" s="62">
        <f>D53</f>
        <v>250000</v>
      </c>
    </row>
    <row r="54" spans="1:7" ht="20.25" customHeight="1">
      <c r="A54" s="57">
        <v>3</v>
      </c>
      <c r="B54" s="246" t="s">
        <v>366</v>
      </c>
      <c r="C54" s="247"/>
      <c r="D54" s="143"/>
      <c r="E54" s="171"/>
      <c r="F54" s="59"/>
    </row>
    <row r="55" spans="1:7" ht="15.75">
      <c r="A55" s="57"/>
      <c r="B55" s="272" t="s">
        <v>388</v>
      </c>
      <c r="C55" s="273"/>
      <c r="D55" s="194">
        <f>E208</f>
        <v>1065000</v>
      </c>
      <c r="E55" s="171"/>
      <c r="F55" s="59">
        <f>D55+E55</f>
        <v>1065000</v>
      </c>
    </row>
    <row r="56" spans="1:7" ht="20.25" customHeight="1">
      <c r="A56" s="57">
        <v>4</v>
      </c>
      <c r="B56" s="246" t="s">
        <v>367</v>
      </c>
      <c r="C56" s="247"/>
      <c r="D56" s="144"/>
      <c r="E56" s="171"/>
      <c r="F56" s="59"/>
    </row>
    <row r="57" spans="1:7" ht="33.75" customHeight="1">
      <c r="A57" s="60"/>
      <c r="B57" s="211" t="s">
        <v>389</v>
      </c>
      <c r="C57" s="239"/>
      <c r="D57" s="194">
        <f>E222</f>
        <v>2700000</v>
      </c>
      <c r="E57" s="171"/>
      <c r="F57" s="59">
        <f>D57+E57</f>
        <v>2700000</v>
      </c>
    </row>
    <row r="58" spans="1:7" ht="18" customHeight="1">
      <c r="A58" s="57">
        <v>5</v>
      </c>
      <c r="B58" s="242" t="s">
        <v>368</v>
      </c>
      <c r="C58" s="243"/>
      <c r="D58" s="144"/>
      <c r="E58" s="171"/>
      <c r="F58" s="59"/>
    </row>
    <row r="59" spans="1:7" ht="15.75">
      <c r="A59" s="60"/>
      <c r="B59" s="211" t="s">
        <v>390</v>
      </c>
      <c r="C59" s="239"/>
      <c r="D59" s="65">
        <f>E233</f>
        <v>7500000</v>
      </c>
      <c r="E59" s="171"/>
      <c r="F59" s="59">
        <f>D59+E59</f>
        <v>7500000</v>
      </c>
    </row>
    <row r="60" spans="1:7" s="132" customFormat="1" ht="34.5" customHeight="1">
      <c r="A60" s="60"/>
      <c r="B60" s="211" t="s">
        <v>846</v>
      </c>
      <c r="C60" s="239"/>
      <c r="D60" s="65">
        <f>150000</f>
        <v>150000</v>
      </c>
      <c r="E60" s="171"/>
      <c r="F60" s="59">
        <f>D60</f>
        <v>150000</v>
      </c>
      <c r="G60" s="35"/>
    </row>
    <row r="61" spans="1:7" ht="18.75" customHeight="1">
      <c r="A61" s="57">
        <v>6</v>
      </c>
      <c r="B61" s="246" t="s">
        <v>369</v>
      </c>
      <c r="C61" s="247"/>
      <c r="D61" s="143"/>
      <c r="E61" s="171"/>
      <c r="F61" s="59"/>
    </row>
    <row r="62" spans="1:7" ht="15.75" customHeight="1">
      <c r="A62" s="60"/>
      <c r="B62" s="211" t="s">
        <v>835</v>
      </c>
      <c r="C62" s="212"/>
      <c r="D62" s="65">
        <f>E280</f>
        <v>1500000</v>
      </c>
      <c r="E62" s="171"/>
      <c r="F62" s="59">
        <f t="shared" ref="F62:F69" si="0">D62+E62</f>
        <v>1500000</v>
      </c>
    </row>
    <row r="63" spans="1:7" ht="15.75">
      <c r="A63" s="60"/>
      <c r="B63" s="272" t="s">
        <v>391</v>
      </c>
      <c r="C63" s="279"/>
      <c r="D63" s="65">
        <f>E306</f>
        <v>5090000</v>
      </c>
      <c r="E63" s="171"/>
      <c r="F63" s="59">
        <f t="shared" si="0"/>
        <v>5090000</v>
      </c>
    </row>
    <row r="64" spans="1:7" ht="40.5" customHeight="1">
      <c r="A64" s="60"/>
      <c r="B64" s="211" t="s">
        <v>904</v>
      </c>
      <c r="C64" s="212"/>
      <c r="D64" s="65">
        <f>E324</f>
        <v>27758</v>
      </c>
      <c r="E64" s="171"/>
      <c r="F64" s="59">
        <f t="shared" si="0"/>
        <v>27758</v>
      </c>
    </row>
    <row r="65" spans="1:8" ht="15.75">
      <c r="A65" s="60"/>
      <c r="B65" s="280" t="s">
        <v>905</v>
      </c>
      <c r="C65" s="241"/>
      <c r="D65" s="58">
        <f>4140000</f>
        <v>4140000</v>
      </c>
      <c r="E65" s="171"/>
      <c r="F65" s="59">
        <f>D65</f>
        <v>4140000</v>
      </c>
    </row>
    <row r="66" spans="1:8" ht="15.75">
      <c r="A66" s="60"/>
      <c r="B66" s="251" t="s">
        <v>915</v>
      </c>
      <c r="C66" s="252"/>
      <c r="D66" s="58">
        <f>E343</f>
        <v>800500</v>
      </c>
      <c r="E66" s="171"/>
      <c r="F66" s="59">
        <f t="shared" si="0"/>
        <v>800500</v>
      </c>
    </row>
    <row r="67" spans="1:8" ht="15.75">
      <c r="A67" s="60"/>
      <c r="B67" s="251" t="s">
        <v>916</v>
      </c>
      <c r="C67" s="252"/>
      <c r="D67" s="58">
        <f>E360</f>
        <v>199000</v>
      </c>
      <c r="E67" s="171"/>
      <c r="F67" s="59">
        <f t="shared" si="0"/>
        <v>199000</v>
      </c>
    </row>
    <row r="68" spans="1:8" ht="15.75">
      <c r="A68" s="60"/>
      <c r="B68" s="251" t="s">
        <v>917</v>
      </c>
      <c r="C68" s="252"/>
      <c r="D68" s="58">
        <f>E370</f>
        <v>49500</v>
      </c>
      <c r="E68" s="171"/>
      <c r="F68" s="59">
        <f t="shared" si="0"/>
        <v>49500</v>
      </c>
    </row>
    <row r="69" spans="1:8" ht="21" customHeight="1">
      <c r="A69" s="60"/>
      <c r="B69" s="251" t="s">
        <v>909</v>
      </c>
      <c r="C69" s="252"/>
      <c r="D69" s="58">
        <f>E379</f>
        <v>110900</v>
      </c>
      <c r="E69" s="171"/>
      <c r="F69" s="59">
        <f t="shared" si="0"/>
        <v>110900</v>
      </c>
    </row>
    <row r="70" spans="1:8" ht="20.25" customHeight="1">
      <c r="A70" s="57">
        <v>7</v>
      </c>
      <c r="B70" s="249" t="s">
        <v>370</v>
      </c>
      <c r="C70" s="250"/>
      <c r="D70" s="121"/>
      <c r="E70" s="171"/>
      <c r="F70" s="59"/>
    </row>
    <row r="71" spans="1:8" ht="29.25" customHeight="1">
      <c r="A71" s="60"/>
      <c r="B71" s="251" t="s">
        <v>392</v>
      </c>
      <c r="C71" s="252"/>
      <c r="D71" s="58">
        <f>E389</f>
        <v>199000</v>
      </c>
      <c r="E71" s="171"/>
      <c r="F71" s="59">
        <f>D71+E71</f>
        <v>199000</v>
      </c>
    </row>
    <row r="72" spans="1:8" ht="20.25" customHeight="1">
      <c r="A72" s="57">
        <v>8</v>
      </c>
      <c r="B72" s="249" t="s">
        <v>371</v>
      </c>
      <c r="C72" s="250"/>
      <c r="D72" s="63"/>
      <c r="E72" s="171"/>
      <c r="F72" s="59"/>
    </row>
    <row r="73" spans="1:8" ht="33.75" customHeight="1">
      <c r="A73" s="60"/>
      <c r="B73" s="251" t="s">
        <v>393</v>
      </c>
      <c r="C73" s="252"/>
      <c r="D73" s="58">
        <f>E401</f>
        <v>95000</v>
      </c>
      <c r="E73" s="171"/>
      <c r="F73" s="59">
        <f>D73+E73</f>
        <v>95000</v>
      </c>
    </row>
    <row r="74" spans="1:8" ht="20.25" customHeight="1">
      <c r="A74" s="60"/>
      <c r="B74" s="251" t="s">
        <v>394</v>
      </c>
      <c r="C74" s="252"/>
      <c r="D74" s="58">
        <f>E410</f>
        <v>5000</v>
      </c>
      <c r="E74" s="171"/>
      <c r="F74" s="59">
        <f>D74+E74</f>
        <v>5000</v>
      </c>
    </row>
    <row r="75" spans="1:8" ht="18.75" customHeight="1">
      <c r="A75" s="57">
        <v>9</v>
      </c>
      <c r="B75" s="249" t="s">
        <v>285</v>
      </c>
      <c r="C75" s="250"/>
      <c r="E75" s="171"/>
      <c r="F75" s="59"/>
    </row>
    <row r="76" spans="1:8" ht="15.75" customHeight="1">
      <c r="A76" s="64"/>
      <c r="B76" s="251" t="s">
        <v>395</v>
      </c>
      <c r="C76" s="252"/>
      <c r="D76" s="171"/>
      <c r="E76" s="65">
        <f>F418</f>
        <v>16224747</v>
      </c>
      <c r="F76" s="59">
        <f t="shared" ref="F76:F84" si="1">D76+E76</f>
        <v>16224747</v>
      </c>
      <c r="H76" s="36"/>
    </row>
    <row r="77" spans="1:8" ht="15.75" customHeight="1">
      <c r="A77" s="60"/>
      <c r="B77" s="251" t="s">
        <v>396</v>
      </c>
      <c r="C77" s="252"/>
      <c r="D77" s="171"/>
      <c r="E77" s="65">
        <f>F676</f>
        <v>7061815</v>
      </c>
      <c r="F77" s="59">
        <f t="shared" si="1"/>
        <v>7061815</v>
      </c>
      <c r="G77" s="36"/>
      <c r="H77" s="36"/>
    </row>
    <row r="78" spans="1:8" ht="15.75" customHeight="1">
      <c r="A78" s="60"/>
      <c r="B78" s="251" t="s">
        <v>397</v>
      </c>
      <c r="C78" s="252"/>
      <c r="D78" s="171"/>
      <c r="E78" s="65">
        <f>F855</f>
        <v>20438292</v>
      </c>
      <c r="F78" s="59">
        <f t="shared" si="1"/>
        <v>20438292</v>
      </c>
      <c r="H78" s="36"/>
    </row>
    <row r="79" spans="1:8" ht="21.75" customHeight="1">
      <c r="A79" s="60"/>
      <c r="B79" s="251" t="s">
        <v>400</v>
      </c>
      <c r="C79" s="252"/>
      <c r="D79" s="171"/>
      <c r="E79" s="65">
        <f>F1209+F1231+F1242+F1253+F1264+F1220</f>
        <v>2398000</v>
      </c>
      <c r="F79" s="59">
        <f t="shared" si="1"/>
        <v>2398000</v>
      </c>
      <c r="H79" s="36"/>
    </row>
    <row r="80" spans="1:8" ht="27.75" customHeight="1">
      <c r="A80" s="60"/>
      <c r="B80" s="251" t="s">
        <v>399</v>
      </c>
      <c r="C80" s="252"/>
      <c r="D80" s="171"/>
      <c r="E80" s="65">
        <f>F1273</f>
        <v>1617871</v>
      </c>
      <c r="F80" s="59">
        <f t="shared" si="1"/>
        <v>1617871</v>
      </c>
      <c r="H80" s="36"/>
    </row>
    <row r="81" spans="1:9" ht="15.75" customHeight="1">
      <c r="A81" s="60"/>
      <c r="B81" s="251" t="s">
        <v>398</v>
      </c>
      <c r="C81" s="252"/>
      <c r="D81" s="171"/>
      <c r="E81" s="65">
        <f>F1301</f>
        <v>555500</v>
      </c>
      <c r="F81" s="59">
        <f t="shared" si="1"/>
        <v>555500</v>
      </c>
      <c r="H81" s="36"/>
    </row>
    <row r="82" spans="1:9" ht="15.75" customHeight="1">
      <c r="A82" s="60"/>
      <c r="B82" s="251" t="s">
        <v>385</v>
      </c>
      <c r="C82" s="252"/>
      <c r="D82" s="171"/>
      <c r="E82" s="65">
        <f>F1322</f>
        <v>2849758</v>
      </c>
      <c r="F82" s="59">
        <f t="shared" si="1"/>
        <v>2849758</v>
      </c>
      <c r="H82" s="36"/>
    </row>
    <row r="83" spans="1:9" ht="15.75" customHeight="1">
      <c r="A83" s="60"/>
      <c r="B83" s="251" t="s">
        <v>462</v>
      </c>
      <c r="C83" s="252"/>
      <c r="D83" s="171"/>
      <c r="E83" s="65">
        <f>F1424+F1433</f>
        <v>351404</v>
      </c>
      <c r="F83" s="59">
        <f t="shared" si="1"/>
        <v>351404</v>
      </c>
      <c r="H83" s="36"/>
    </row>
    <row r="84" spans="1:9" ht="29.25" customHeight="1">
      <c r="A84" s="248" t="s">
        <v>25</v>
      </c>
      <c r="B84" s="248"/>
      <c r="C84" s="252"/>
      <c r="D84" s="66">
        <f>SUM(D59:D74)+D49+D52+D55+D57+D51+D53</f>
        <v>50432158</v>
      </c>
      <c r="E84" s="66">
        <f>SUM(E76:E83)</f>
        <v>51497387</v>
      </c>
      <c r="F84" s="66">
        <f t="shared" si="1"/>
        <v>101929545</v>
      </c>
      <c r="G84" s="36"/>
      <c r="I84" s="36"/>
    </row>
    <row r="85" spans="1:9" ht="15.75">
      <c r="A85" s="51"/>
      <c r="D85" s="36"/>
      <c r="H85" s="36"/>
    </row>
    <row r="86" spans="1:9" ht="15.75">
      <c r="A86" s="283" t="s">
        <v>29</v>
      </c>
      <c r="B86" s="238" t="s">
        <v>27</v>
      </c>
      <c r="C86" s="238"/>
      <c r="D86" s="238"/>
      <c r="E86" s="238"/>
      <c r="F86" s="238"/>
      <c r="G86" s="238"/>
    </row>
    <row r="87" spans="1:9" ht="5.25" customHeight="1">
      <c r="A87" s="283"/>
    </row>
    <row r="88" spans="1:9" ht="15.75">
      <c r="A88" s="51"/>
      <c r="E88" s="67" t="s">
        <v>21</v>
      </c>
    </row>
    <row r="89" spans="1:9" ht="15.75">
      <c r="A89" s="171" t="s">
        <v>17</v>
      </c>
      <c r="B89" s="52" t="s">
        <v>28</v>
      </c>
      <c r="C89" s="171" t="s">
        <v>23</v>
      </c>
      <c r="D89" s="171" t="s">
        <v>24</v>
      </c>
      <c r="E89" s="171" t="s">
        <v>25</v>
      </c>
    </row>
    <row r="90" spans="1:9" ht="15.75">
      <c r="A90" s="171">
        <v>1</v>
      </c>
      <c r="B90" s="171">
        <v>2</v>
      </c>
      <c r="C90" s="171">
        <v>3</v>
      </c>
      <c r="D90" s="171">
        <v>4</v>
      </c>
      <c r="E90" s="171">
        <v>5</v>
      </c>
    </row>
    <row r="91" spans="1:9" ht="31.5">
      <c r="A91" s="171">
        <v>1</v>
      </c>
      <c r="B91" s="68" t="s">
        <v>502</v>
      </c>
      <c r="C91" s="69">
        <f>50004400+277758</f>
        <v>50282158</v>
      </c>
      <c r="D91" s="68"/>
      <c r="E91" s="69">
        <f>C91+D91</f>
        <v>50282158</v>
      </c>
      <c r="F91" s="37"/>
    </row>
    <row r="92" spans="1:9" ht="15.75">
      <c r="A92" s="248" t="s">
        <v>25</v>
      </c>
      <c r="B92" s="248"/>
      <c r="C92" s="70">
        <f>SUM(C91)</f>
        <v>50282158</v>
      </c>
      <c r="D92" s="71"/>
      <c r="E92" s="70">
        <f>SUM(E91)</f>
        <v>50282158</v>
      </c>
      <c r="F92" s="37"/>
    </row>
    <row r="93" spans="1:9" ht="19.5" customHeight="1">
      <c r="A93" s="51"/>
    </row>
    <row r="94" spans="1:9" ht="21" customHeight="1">
      <c r="A94" s="174" t="s">
        <v>72</v>
      </c>
      <c r="B94" s="238" t="s">
        <v>30</v>
      </c>
      <c r="C94" s="238"/>
      <c r="D94" s="238"/>
      <c r="E94" s="238"/>
      <c r="F94" s="238"/>
      <c r="G94" s="238"/>
    </row>
    <row r="95" spans="1:9" ht="9.75" customHeight="1">
      <c r="A95" s="51"/>
    </row>
    <row r="96" spans="1:9" ht="42" customHeight="1">
      <c r="A96" s="171" t="s">
        <v>17</v>
      </c>
      <c r="B96" s="171" t="s">
        <v>31</v>
      </c>
      <c r="C96" s="171" t="s">
        <v>32</v>
      </c>
      <c r="D96" s="171" t="s">
        <v>33</v>
      </c>
      <c r="E96" s="171" t="s">
        <v>23</v>
      </c>
      <c r="F96" s="171" t="s">
        <v>24</v>
      </c>
      <c r="G96" s="171" t="s">
        <v>25</v>
      </c>
    </row>
    <row r="97" spans="1:9" ht="15.75">
      <c r="A97" s="171">
        <v>1</v>
      </c>
      <c r="B97" s="171">
        <v>2</v>
      </c>
      <c r="C97" s="171">
        <v>3</v>
      </c>
      <c r="D97" s="171">
        <v>4</v>
      </c>
      <c r="E97" s="171">
        <v>5</v>
      </c>
      <c r="F97" s="171">
        <v>6</v>
      </c>
      <c r="G97" s="171">
        <v>7</v>
      </c>
    </row>
    <row r="98" spans="1:9" ht="35.25" customHeight="1">
      <c r="A98" s="173">
        <v>1</v>
      </c>
      <c r="B98" s="277" t="s">
        <v>372</v>
      </c>
      <c r="C98" s="278"/>
      <c r="D98" s="171"/>
      <c r="E98" s="171"/>
      <c r="F98" s="171"/>
      <c r="G98" s="171"/>
    </row>
    <row r="99" spans="1:9" ht="15.75">
      <c r="A99" s="52">
        <v>1</v>
      </c>
      <c r="B99" s="153" t="s">
        <v>34</v>
      </c>
      <c r="C99" s="52"/>
      <c r="D99" s="171"/>
      <c r="E99" s="171"/>
      <c r="F99" s="171"/>
      <c r="G99" s="171"/>
    </row>
    <row r="100" spans="1:9" ht="15.75">
      <c r="A100" s="171"/>
      <c r="B100" s="145" t="s">
        <v>125</v>
      </c>
      <c r="C100" s="76" t="s">
        <v>127</v>
      </c>
      <c r="D100" s="60" t="s">
        <v>128</v>
      </c>
      <c r="E100" s="61">
        <f>E102+E103+E104</f>
        <v>9577650</v>
      </c>
      <c r="F100" s="171"/>
      <c r="G100" s="62">
        <f>E100+F100</f>
        <v>9577650</v>
      </c>
      <c r="H100" s="37">
        <f>H107+H108+H110+H111+H112+H113+H109+H114+H115+H116+H104</f>
        <v>9577607.4584071003</v>
      </c>
      <c r="I100" s="37">
        <f>G100-H100</f>
        <v>42.54159289970994</v>
      </c>
    </row>
    <row r="101" spans="1:9" ht="15.75">
      <c r="A101" s="171"/>
      <c r="B101" s="145" t="s">
        <v>126</v>
      </c>
      <c r="C101" s="76" t="s">
        <v>129</v>
      </c>
      <c r="D101" s="60" t="s">
        <v>130</v>
      </c>
      <c r="E101" s="72">
        <v>35</v>
      </c>
      <c r="F101" s="171"/>
      <c r="G101" s="62">
        <f>E101+F101</f>
        <v>35</v>
      </c>
    </row>
    <row r="102" spans="1:9" ht="15.75">
      <c r="A102" s="171"/>
      <c r="B102" s="80" t="s">
        <v>131</v>
      </c>
      <c r="C102" s="74" t="s">
        <v>132</v>
      </c>
      <c r="D102" s="73" t="s">
        <v>133</v>
      </c>
      <c r="E102" s="62">
        <f>9700000-851850</f>
        <v>8848150</v>
      </c>
      <c r="F102" s="171"/>
      <c r="G102" s="62">
        <f t="shared" ref="G102:G132" si="2">E102+F102</f>
        <v>8848150</v>
      </c>
    </row>
    <row r="103" spans="1:9" ht="15.75">
      <c r="A103" s="171"/>
      <c r="B103" s="80" t="s">
        <v>134</v>
      </c>
      <c r="C103" s="74" t="s">
        <v>132</v>
      </c>
      <c r="D103" s="73" t="s">
        <v>133</v>
      </c>
      <c r="E103" s="62">
        <v>680000</v>
      </c>
      <c r="F103" s="171"/>
      <c r="G103" s="62">
        <f t="shared" si="2"/>
        <v>680000</v>
      </c>
      <c r="H103" s="37"/>
    </row>
    <row r="104" spans="1:9" ht="25.5">
      <c r="A104" s="171"/>
      <c r="B104" s="80" t="s">
        <v>946</v>
      </c>
      <c r="C104" s="74" t="s">
        <v>132</v>
      </c>
      <c r="D104" s="73" t="s">
        <v>133</v>
      </c>
      <c r="E104" s="62">
        <v>49500</v>
      </c>
      <c r="F104" s="171"/>
      <c r="G104" s="62">
        <f>E104</f>
        <v>49500</v>
      </c>
      <c r="H104" s="37">
        <f>G104*G117</f>
        <v>49500</v>
      </c>
    </row>
    <row r="105" spans="1:9" ht="15.75">
      <c r="A105" s="52">
        <v>2</v>
      </c>
      <c r="B105" s="153" t="s">
        <v>35</v>
      </c>
      <c r="C105" s="76" t="s">
        <v>135</v>
      </c>
      <c r="D105" s="60" t="s">
        <v>135</v>
      </c>
      <c r="E105" s="171"/>
      <c r="F105" s="171"/>
      <c r="G105" s="171"/>
    </row>
    <row r="106" spans="1:9" ht="25.5">
      <c r="A106" s="171"/>
      <c r="B106" s="80" t="s">
        <v>136</v>
      </c>
      <c r="C106" s="74" t="s">
        <v>137</v>
      </c>
      <c r="D106" s="74" t="s">
        <v>138</v>
      </c>
      <c r="E106" s="133">
        <v>165</v>
      </c>
      <c r="F106" s="171"/>
      <c r="G106" s="62">
        <f t="shared" si="2"/>
        <v>165</v>
      </c>
    </row>
    <row r="107" spans="1:9" ht="25.5">
      <c r="A107" s="171"/>
      <c r="B107" s="80" t="s">
        <v>139</v>
      </c>
      <c r="C107" s="74" t="s">
        <v>129</v>
      </c>
      <c r="D107" s="74" t="s">
        <v>138</v>
      </c>
      <c r="E107" s="133">
        <v>93</v>
      </c>
      <c r="F107" s="171"/>
      <c r="G107" s="62">
        <f t="shared" si="2"/>
        <v>93</v>
      </c>
      <c r="H107" s="35">
        <f>G107*G119</f>
        <v>56355.21</v>
      </c>
    </row>
    <row r="108" spans="1:9" ht="25.5">
      <c r="A108" s="171"/>
      <c r="B108" s="80" t="s">
        <v>140</v>
      </c>
      <c r="C108" s="74" t="s">
        <v>141</v>
      </c>
      <c r="D108" s="74" t="s">
        <v>138</v>
      </c>
      <c r="E108" s="72">
        <v>4345</v>
      </c>
      <c r="F108" s="171"/>
      <c r="G108" s="62">
        <f t="shared" si="2"/>
        <v>4345</v>
      </c>
      <c r="H108" s="35">
        <f>G108*G123</f>
        <v>361504</v>
      </c>
    </row>
    <row r="109" spans="1:9" ht="15.75">
      <c r="A109" s="171"/>
      <c r="B109" s="80" t="s">
        <v>923</v>
      </c>
      <c r="C109" s="74"/>
      <c r="D109" s="74"/>
      <c r="E109" s="72">
        <v>300</v>
      </c>
      <c r="F109" s="171"/>
      <c r="G109" s="62">
        <f t="shared" si="2"/>
        <v>300</v>
      </c>
      <c r="H109" s="132">
        <f>G109*300*G124</f>
        <v>1175400</v>
      </c>
    </row>
    <row r="110" spans="1:9" ht="25.5">
      <c r="A110" s="171"/>
      <c r="B110" s="80" t="s">
        <v>142</v>
      </c>
      <c r="C110" s="74" t="s">
        <v>143</v>
      </c>
      <c r="D110" s="74" t="s">
        <v>144</v>
      </c>
      <c r="E110" s="58">
        <v>5686</v>
      </c>
      <c r="F110" s="171"/>
      <c r="G110" s="62">
        <f t="shared" si="2"/>
        <v>5686</v>
      </c>
      <c r="H110" s="35">
        <f>G110*G120</f>
        <v>679988.74</v>
      </c>
    </row>
    <row r="111" spans="1:9" ht="38.25">
      <c r="A111" s="171"/>
      <c r="B111" s="80" t="s">
        <v>146</v>
      </c>
      <c r="C111" s="74" t="s">
        <v>147</v>
      </c>
      <c r="D111" s="74" t="s">
        <v>148</v>
      </c>
      <c r="E111" s="61">
        <v>190</v>
      </c>
      <c r="F111" s="171"/>
      <c r="G111" s="62">
        <f t="shared" si="2"/>
        <v>190</v>
      </c>
      <c r="H111" s="35">
        <f>G111*G121</f>
        <v>20440.2</v>
      </c>
    </row>
    <row r="112" spans="1:9" ht="51">
      <c r="A112" s="171"/>
      <c r="B112" s="80" t="s">
        <v>149</v>
      </c>
      <c r="C112" s="74" t="s">
        <v>150</v>
      </c>
      <c r="D112" s="74" t="s">
        <v>148</v>
      </c>
      <c r="E112" s="58">
        <v>39921.370000000003</v>
      </c>
      <c r="F112" s="171"/>
      <c r="G112" s="59">
        <f t="shared" si="2"/>
        <v>39921.370000000003</v>
      </c>
      <c r="H112" s="152">
        <f>G112*G122+171.59</f>
        <v>6316131.5377000002</v>
      </c>
    </row>
    <row r="113" spans="1:8" ht="25.5">
      <c r="A113" s="171"/>
      <c r="B113" s="80" t="s">
        <v>151</v>
      </c>
      <c r="C113" s="74" t="s">
        <v>152</v>
      </c>
      <c r="D113" s="74" t="s">
        <v>148</v>
      </c>
      <c r="E113" s="58">
        <v>520.6</v>
      </c>
      <c r="F113" s="171"/>
      <c r="G113" s="59">
        <f t="shared" si="2"/>
        <v>520.6</v>
      </c>
      <c r="H113" s="35">
        <f>G113*G125</f>
        <v>87653.422000000006</v>
      </c>
    </row>
    <row r="114" spans="1:8" ht="25.5">
      <c r="A114" s="171"/>
      <c r="B114" s="80" t="s">
        <v>924</v>
      </c>
      <c r="C114" s="74" t="s">
        <v>925</v>
      </c>
      <c r="D114" s="74" t="s">
        <v>148</v>
      </c>
      <c r="E114" s="61">
        <v>1300</v>
      </c>
      <c r="F114" s="171"/>
      <c r="G114" s="62">
        <f>E114</f>
        <v>1300</v>
      </c>
      <c r="H114" s="35">
        <f>G114*G126</f>
        <v>301652</v>
      </c>
    </row>
    <row r="115" spans="1:8" ht="30" customHeight="1">
      <c r="A115" s="171"/>
      <c r="B115" s="80" t="s">
        <v>926</v>
      </c>
      <c r="C115" s="74" t="s">
        <v>927</v>
      </c>
      <c r="D115" s="74" t="s">
        <v>148</v>
      </c>
      <c r="E115" s="61">
        <v>1100</v>
      </c>
      <c r="F115" s="171"/>
      <c r="G115" s="62">
        <f>E115</f>
        <v>1100</v>
      </c>
      <c r="H115" s="35">
        <f>G115*G127</f>
        <v>190399</v>
      </c>
    </row>
    <row r="116" spans="1:8" ht="30" customHeight="1">
      <c r="A116" s="171"/>
      <c r="B116" s="80" t="s">
        <v>929</v>
      </c>
      <c r="C116" s="74" t="s">
        <v>150</v>
      </c>
      <c r="D116" s="74" t="s">
        <v>148</v>
      </c>
      <c r="E116" s="79">
        <v>2112.9</v>
      </c>
      <c r="F116" s="171"/>
      <c r="G116" s="78">
        <f>E116</f>
        <v>2112.9</v>
      </c>
      <c r="H116" s="152">
        <f>G116*G128</f>
        <v>338583.34870710003</v>
      </c>
    </row>
    <row r="117" spans="1:8" ht="30" customHeight="1">
      <c r="A117" s="171"/>
      <c r="B117" s="80" t="s">
        <v>947</v>
      </c>
      <c r="C117" s="74" t="s">
        <v>129</v>
      </c>
      <c r="D117" s="74" t="s">
        <v>148</v>
      </c>
      <c r="E117" s="79">
        <v>1</v>
      </c>
      <c r="F117" s="171"/>
      <c r="G117" s="78">
        <v>1</v>
      </c>
      <c r="H117" s="152"/>
    </row>
    <row r="118" spans="1:8" ht="15.75">
      <c r="A118" s="52">
        <v>3</v>
      </c>
      <c r="B118" s="153" t="s">
        <v>36</v>
      </c>
      <c r="C118" s="52"/>
      <c r="D118" s="171"/>
      <c r="E118" s="171"/>
      <c r="F118" s="171"/>
      <c r="G118" s="171"/>
    </row>
    <row r="119" spans="1:8" ht="25.5">
      <c r="A119" s="171"/>
      <c r="B119" s="80" t="s">
        <v>153</v>
      </c>
      <c r="C119" s="74" t="s">
        <v>132</v>
      </c>
      <c r="D119" s="74" t="s">
        <v>144</v>
      </c>
      <c r="E119" s="75">
        <v>605.97</v>
      </c>
      <c r="F119" s="171"/>
      <c r="G119" s="59">
        <f t="shared" si="2"/>
        <v>605.97</v>
      </c>
    </row>
    <row r="120" spans="1:8" ht="15.75">
      <c r="A120" s="171"/>
      <c r="B120" s="80" t="s">
        <v>154</v>
      </c>
      <c r="C120" s="74" t="s">
        <v>132</v>
      </c>
      <c r="D120" s="74" t="s">
        <v>144</v>
      </c>
      <c r="E120" s="75">
        <v>119.59</v>
      </c>
      <c r="F120" s="171"/>
      <c r="G120" s="59">
        <f t="shared" si="2"/>
        <v>119.59</v>
      </c>
    </row>
    <row r="121" spans="1:8" ht="25.5">
      <c r="A121" s="171"/>
      <c r="B121" s="80" t="s">
        <v>155</v>
      </c>
      <c r="C121" s="74" t="s">
        <v>132</v>
      </c>
      <c r="D121" s="74" t="s">
        <v>156</v>
      </c>
      <c r="E121" s="75">
        <v>107.58</v>
      </c>
      <c r="F121" s="171"/>
      <c r="G121" s="59">
        <f t="shared" si="2"/>
        <v>107.58</v>
      </c>
    </row>
    <row r="122" spans="1:8" ht="25.5">
      <c r="A122" s="171"/>
      <c r="B122" s="80" t="s">
        <v>937</v>
      </c>
      <c r="C122" s="74" t="s">
        <v>132</v>
      </c>
      <c r="D122" s="74" t="s">
        <v>156</v>
      </c>
      <c r="E122" s="75">
        <v>158.21</v>
      </c>
      <c r="F122" s="171"/>
      <c r="G122" s="59">
        <f t="shared" si="2"/>
        <v>158.21</v>
      </c>
    </row>
    <row r="123" spans="1:8" ht="15.75">
      <c r="A123" s="171"/>
      <c r="B123" s="80" t="s">
        <v>157</v>
      </c>
      <c r="C123" s="74" t="s">
        <v>132</v>
      </c>
      <c r="D123" s="74" t="s">
        <v>156</v>
      </c>
      <c r="E123" s="75">
        <v>83.2</v>
      </c>
      <c r="F123" s="171"/>
      <c r="G123" s="59">
        <f t="shared" si="2"/>
        <v>83.2</v>
      </c>
    </row>
    <row r="124" spans="1:8" ht="25.5">
      <c r="A124" s="171"/>
      <c r="B124" s="80" t="s">
        <v>922</v>
      </c>
      <c r="C124" s="74" t="s">
        <v>132</v>
      </c>
      <c r="D124" s="74" t="s">
        <v>156</v>
      </c>
      <c r="E124" s="75">
        <v>13.06</v>
      </c>
      <c r="F124" s="171"/>
      <c r="G124" s="59">
        <f t="shared" si="2"/>
        <v>13.06</v>
      </c>
    </row>
    <row r="125" spans="1:8" ht="25.5">
      <c r="A125" s="171"/>
      <c r="B125" s="80" t="s">
        <v>158</v>
      </c>
      <c r="C125" s="74" t="s">
        <v>132</v>
      </c>
      <c r="D125" s="74" t="s">
        <v>156</v>
      </c>
      <c r="E125" s="75">
        <v>168.37</v>
      </c>
      <c r="F125" s="171"/>
      <c r="G125" s="59">
        <f t="shared" si="2"/>
        <v>168.37</v>
      </c>
    </row>
    <row r="126" spans="1:8" ht="25.5">
      <c r="A126" s="171"/>
      <c r="B126" s="80" t="s">
        <v>938</v>
      </c>
      <c r="C126" s="74" t="s">
        <v>132</v>
      </c>
      <c r="D126" s="74" t="s">
        <v>156</v>
      </c>
      <c r="E126" s="75">
        <v>232.04</v>
      </c>
      <c r="F126" s="171"/>
      <c r="G126" s="59">
        <f t="shared" si="2"/>
        <v>232.04</v>
      </c>
    </row>
    <row r="127" spans="1:8" ht="25.5">
      <c r="A127" s="171"/>
      <c r="B127" s="80" t="s">
        <v>928</v>
      </c>
      <c r="C127" s="74" t="s">
        <v>132</v>
      </c>
      <c r="D127" s="74" t="s">
        <v>156</v>
      </c>
      <c r="E127" s="75">
        <v>173.09</v>
      </c>
      <c r="F127" s="171"/>
      <c r="G127" s="59">
        <f t="shared" si="2"/>
        <v>173.09</v>
      </c>
    </row>
    <row r="128" spans="1:8" ht="30" customHeight="1">
      <c r="A128" s="171"/>
      <c r="B128" s="80" t="s">
        <v>930</v>
      </c>
      <c r="C128" s="74" t="s">
        <v>132</v>
      </c>
      <c r="D128" s="74" t="s">
        <v>156</v>
      </c>
      <c r="E128" s="75">
        <v>160.24579900000001</v>
      </c>
      <c r="F128" s="171"/>
      <c r="G128" s="59">
        <f t="shared" si="2"/>
        <v>160.24579900000001</v>
      </c>
    </row>
    <row r="129" spans="1:9" ht="30" customHeight="1">
      <c r="A129" s="171"/>
      <c r="B129" s="80" t="s">
        <v>948</v>
      </c>
      <c r="C129" s="74" t="s">
        <v>132</v>
      </c>
      <c r="D129" s="74" t="s">
        <v>156</v>
      </c>
      <c r="E129" s="75">
        <v>49500</v>
      </c>
      <c r="F129" s="171"/>
      <c r="G129" s="59">
        <f t="shared" si="2"/>
        <v>49500</v>
      </c>
    </row>
    <row r="130" spans="1:9" ht="15.75">
      <c r="A130" s="52">
        <v>4</v>
      </c>
      <c r="B130" s="153" t="s">
        <v>37</v>
      </c>
      <c r="C130" s="76" t="s">
        <v>135</v>
      </c>
      <c r="D130" s="60" t="s">
        <v>135</v>
      </c>
      <c r="E130" s="171"/>
      <c r="F130" s="171"/>
      <c r="G130" s="171"/>
    </row>
    <row r="131" spans="1:9" ht="15.75">
      <c r="A131" s="171"/>
      <c r="B131" s="145" t="s">
        <v>159</v>
      </c>
      <c r="C131" s="76" t="s">
        <v>160</v>
      </c>
      <c r="D131" s="60" t="s">
        <v>156</v>
      </c>
      <c r="E131" s="171">
        <v>100</v>
      </c>
      <c r="F131" s="171"/>
      <c r="G131" s="62">
        <f t="shared" si="2"/>
        <v>100</v>
      </c>
    </row>
    <row r="132" spans="1:9" ht="15.75">
      <c r="A132" s="171"/>
      <c r="B132" s="80" t="s">
        <v>161</v>
      </c>
      <c r="C132" s="74" t="s">
        <v>160</v>
      </c>
      <c r="D132" s="74" t="s">
        <v>144</v>
      </c>
      <c r="E132" s="171">
        <v>35</v>
      </c>
      <c r="F132" s="171"/>
      <c r="G132" s="62">
        <f t="shared" si="2"/>
        <v>35</v>
      </c>
    </row>
    <row r="133" spans="1:9" ht="18.75" customHeight="1">
      <c r="A133" s="173">
        <v>2</v>
      </c>
      <c r="B133" s="216" t="s">
        <v>365</v>
      </c>
      <c r="C133" s="216"/>
      <c r="D133" s="74"/>
      <c r="E133" s="171"/>
      <c r="F133" s="171"/>
      <c r="G133" s="62"/>
    </row>
    <row r="134" spans="1:9" ht="21.75" customHeight="1">
      <c r="A134" s="173"/>
      <c r="B134" s="168" t="s">
        <v>501</v>
      </c>
      <c r="C134" s="166"/>
      <c r="D134" s="74"/>
      <c r="E134" s="171"/>
      <c r="F134" s="171"/>
      <c r="G134" s="62"/>
    </row>
    <row r="135" spans="1:9" ht="15.75">
      <c r="A135" s="76">
        <v>1</v>
      </c>
      <c r="B135" s="153" t="s">
        <v>34</v>
      </c>
      <c r="C135" s="74"/>
      <c r="D135" s="74"/>
      <c r="E135" s="171"/>
      <c r="F135" s="171"/>
      <c r="G135" s="171"/>
    </row>
    <row r="136" spans="1:9" ht="25.5">
      <c r="A136" s="60"/>
      <c r="B136" s="145" t="s">
        <v>162</v>
      </c>
      <c r="C136" s="74" t="s">
        <v>127</v>
      </c>
      <c r="D136" s="74" t="s">
        <v>163</v>
      </c>
      <c r="E136" s="191">
        <f>13756000+851850-185000</f>
        <v>14422850</v>
      </c>
      <c r="F136" s="171"/>
      <c r="G136" s="191">
        <f t="shared" ref="G136:G159" si="3">E136+F136</f>
        <v>14422850</v>
      </c>
      <c r="H136" s="36">
        <f>G136-H149</f>
        <v>1197766.5</v>
      </c>
      <c r="I136" s="36"/>
    </row>
    <row r="137" spans="1:9" ht="36.75" customHeight="1">
      <c r="A137" s="60"/>
      <c r="B137" s="80" t="s">
        <v>164</v>
      </c>
      <c r="C137" s="74" t="s">
        <v>165</v>
      </c>
      <c r="D137" s="77" t="s">
        <v>166</v>
      </c>
      <c r="E137" s="171">
        <f>'[1]після 24.09.2019'!$K$214</f>
        <v>123.3</v>
      </c>
      <c r="F137" s="171"/>
      <c r="G137" s="78">
        <f t="shared" si="3"/>
        <v>123.3</v>
      </c>
    </row>
    <row r="138" spans="1:9" ht="27" customHeight="1">
      <c r="A138" s="171"/>
      <c r="B138" s="145" t="s">
        <v>167</v>
      </c>
      <c r="C138" s="74" t="s">
        <v>168</v>
      </c>
      <c r="D138" s="74" t="s">
        <v>166</v>
      </c>
      <c r="E138" s="72">
        <v>1826.1</v>
      </c>
      <c r="F138" s="171"/>
      <c r="G138" s="78">
        <f t="shared" si="3"/>
        <v>1826.1</v>
      </c>
    </row>
    <row r="139" spans="1:9" ht="34.5" customHeight="1">
      <c r="A139" s="171"/>
      <c r="B139" s="80" t="s">
        <v>169</v>
      </c>
      <c r="C139" s="74" t="s">
        <v>165</v>
      </c>
      <c r="D139" s="77" t="s">
        <v>166</v>
      </c>
      <c r="E139" s="79">
        <v>77.7</v>
      </c>
      <c r="F139" s="171"/>
      <c r="G139" s="78">
        <f t="shared" si="3"/>
        <v>77.7</v>
      </c>
      <c r="I139" s="36"/>
    </row>
    <row r="140" spans="1:9" ht="15.75">
      <c r="A140" s="52">
        <v>2</v>
      </c>
      <c r="B140" s="153" t="s">
        <v>35</v>
      </c>
      <c r="C140" s="52"/>
      <c r="D140" s="171"/>
      <c r="E140" s="171"/>
      <c r="F140" s="171"/>
      <c r="G140" s="171"/>
    </row>
    <row r="141" spans="1:9" ht="31.5" customHeight="1">
      <c r="A141" s="171"/>
      <c r="B141" s="80" t="s">
        <v>170</v>
      </c>
      <c r="C141" s="74" t="s">
        <v>171</v>
      </c>
      <c r="D141" s="73" t="s">
        <v>128</v>
      </c>
      <c r="E141" s="61">
        <v>13926</v>
      </c>
      <c r="F141" s="171"/>
      <c r="G141" s="62">
        <f t="shared" si="3"/>
        <v>13926</v>
      </c>
      <c r="H141" s="36">
        <f>G141*G150</f>
        <v>2256012</v>
      </c>
    </row>
    <row r="142" spans="1:9" ht="43.5" customHeight="1">
      <c r="A142" s="171"/>
      <c r="B142" s="80" t="s">
        <v>172</v>
      </c>
      <c r="C142" s="74" t="s">
        <v>171</v>
      </c>
      <c r="D142" s="73" t="s">
        <v>128</v>
      </c>
      <c r="E142" s="179">
        <v>10291</v>
      </c>
      <c r="F142" s="171"/>
      <c r="G142" s="185">
        <f t="shared" si="3"/>
        <v>10291</v>
      </c>
      <c r="H142" s="36">
        <f>G142*G151</f>
        <v>2685951</v>
      </c>
    </row>
    <row r="143" spans="1:9" ht="25.5">
      <c r="A143" s="171"/>
      <c r="B143" s="80" t="s">
        <v>426</v>
      </c>
      <c r="C143" s="74" t="s">
        <v>171</v>
      </c>
      <c r="D143" s="73" t="s">
        <v>128</v>
      </c>
      <c r="E143" s="61">
        <v>1000</v>
      </c>
      <c r="F143" s="171"/>
      <c r="G143" s="62">
        <f t="shared" si="3"/>
        <v>1000</v>
      </c>
      <c r="H143" s="36">
        <f>G143*G152</f>
        <v>945840</v>
      </c>
    </row>
    <row r="144" spans="1:9" ht="51">
      <c r="A144" s="171"/>
      <c r="B144" s="80" t="s">
        <v>173</v>
      </c>
      <c r="C144" s="74" t="s">
        <v>171</v>
      </c>
      <c r="D144" s="73" t="s">
        <v>128</v>
      </c>
      <c r="E144" s="61">
        <v>8000</v>
      </c>
      <c r="F144" s="171"/>
      <c r="G144" s="62">
        <f t="shared" si="3"/>
        <v>8000</v>
      </c>
      <c r="H144" s="36">
        <f>G144*G153</f>
        <v>2880000</v>
      </c>
    </row>
    <row r="145" spans="1:11" ht="25.5">
      <c r="A145" s="171"/>
      <c r="B145" s="80" t="s">
        <v>174</v>
      </c>
      <c r="C145" s="74" t="s">
        <v>171</v>
      </c>
      <c r="D145" s="73" t="s">
        <v>128</v>
      </c>
      <c r="E145" s="61">
        <v>4933</v>
      </c>
      <c r="F145" s="171"/>
      <c r="G145" s="62">
        <f t="shared" si="3"/>
        <v>4933</v>
      </c>
      <c r="H145" s="36">
        <f>G145*G154-49.5</f>
        <v>3995680.5</v>
      </c>
    </row>
    <row r="146" spans="1:11" s="165" customFormat="1" ht="25.5">
      <c r="A146" s="171"/>
      <c r="B146" s="145" t="s">
        <v>176</v>
      </c>
      <c r="C146" s="74" t="s">
        <v>141</v>
      </c>
      <c r="D146" s="73" t="s">
        <v>128</v>
      </c>
      <c r="E146" s="72">
        <v>15</v>
      </c>
      <c r="F146" s="171"/>
      <c r="G146" s="62">
        <f t="shared" si="3"/>
        <v>15</v>
      </c>
      <c r="H146" s="164">
        <f>G146*G155</f>
        <v>111600</v>
      </c>
    </row>
    <row r="147" spans="1:11" ht="25.5">
      <c r="A147" s="171"/>
      <c r="B147" s="145" t="s">
        <v>491</v>
      </c>
      <c r="C147" s="74" t="s">
        <v>175</v>
      </c>
      <c r="D147" s="73" t="s">
        <v>128</v>
      </c>
      <c r="E147" s="72">
        <v>175</v>
      </c>
      <c r="F147" s="171"/>
      <c r="G147" s="62">
        <f t="shared" si="3"/>
        <v>175</v>
      </c>
      <c r="H147" s="36">
        <f>G147*G156</f>
        <v>350000</v>
      </c>
    </row>
    <row r="148" spans="1:11" ht="45.75" customHeight="1">
      <c r="A148" s="171"/>
      <c r="B148" s="145" t="s">
        <v>931</v>
      </c>
      <c r="C148" s="74" t="s">
        <v>141</v>
      </c>
      <c r="D148" s="73" t="s">
        <v>128</v>
      </c>
      <c r="E148" s="72">
        <v>900</v>
      </c>
      <c r="F148" s="171"/>
      <c r="G148" s="62">
        <f t="shared" si="3"/>
        <v>900</v>
      </c>
      <c r="H148" s="36"/>
    </row>
    <row r="149" spans="1:11" ht="15.75">
      <c r="A149" s="52">
        <v>3</v>
      </c>
      <c r="B149" s="153" t="s">
        <v>36</v>
      </c>
      <c r="C149" s="74"/>
      <c r="D149" s="73"/>
      <c r="E149" s="171"/>
      <c r="F149" s="171"/>
      <c r="G149" s="62"/>
      <c r="H149" s="124">
        <f>SUM(H141:H147)</f>
        <v>13225083.5</v>
      </c>
      <c r="I149" s="36">
        <f>13571000+H157</f>
        <v>14422850</v>
      </c>
    </row>
    <row r="150" spans="1:11" ht="25.5">
      <c r="A150" s="171"/>
      <c r="B150" s="80" t="s">
        <v>493</v>
      </c>
      <c r="C150" s="74" t="s">
        <v>127</v>
      </c>
      <c r="D150" s="73" t="s">
        <v>144</v>
      </c>
      <c r="E150" s="72">
        <v>162</v>
      </c>
      <c r="F150" s="171"/>
      <c r="G150" s="59">
        <f t="shared" si="3"/>
        <v>162</v>
      </c>
    </row>
    <row r="151" spans="1:11" ht="25.5">
      <c r="A151" s="171"/>
      <c r="B151" s="80" t="s">
        <v>494</v>
      </c>
      <c r="C151" s="74" t="s">
        <v>127</v>
      </c>
      <c r="D151" s="73" t="s">
        <v>144</v>
      </c>
      <c r="E151" s="58">
        <v>261</v>
      </c>
      <c r="F151" s="171"/>
      <c r="G151" s="59">
        <f t="shared" si="3"/>
        <v>261</v>
      </c>
      <c r="H151" s="36"/>
    </row>
    <row r="152" spans="1:11" ht="15.75">
      <c r="A152" s="171"/>
      <c r="B152" s="80" t="s">
        <v>450</v>
      </c>
      <c r="C152" s="74" t="s">
        <v>127</v>
      </c>
      <c r="D152" s="73" t="s">
        <v>144</v>
      </c>
      <c r="E152" s="58">
        <f>945.84</f>
        <v>945.84</v>
      </c>
      <c r="F152" s="171"/>
      <c r="G152" s="59">
        <f t="shared" si="3"/>
        <v>945.84</v>
      </c>
    </row>
    <row r="153" spans="1:11" ht="51">
      <c r="A153" s="171"/>
      <c r="B153" s="80" t="s">
        <v>495</v>
      </c>
      <c r="C153" s="74" t="s">
        <v>132</v>
      </c>
      <c r="D153" s="73" t="s">
        <v>144</v>
      </c>
      <c r="E153" s="58">
        <v>360</v>
      </c>
      <c r="F153" s="171"/>
      <c r="G153" s="59">
        <f t="shared" si="3"/>
        <v>360</v>
      </c>
      <c r="H153" s="36"/>
    </row>
    <row r="154" spans="1:11" ht="25.5">
      <c r="A154" s="171"/>
      <c r="B154" s="80" t="s">
        <v>496</v>
      </c>
      <c r="C154" s="74" t="s">
        <v>127</v>
      </c>
      <c r="D154" s="73" t="s">
        <v>144</v>
      </c>
      <c r="E154" s="58">
        <v>810</v>
      </c>
      <c r="F154" s="171"/>
      <c r="G154" s="59">
        <f t="shared" si="3"/>
        <v>810</v>
      </c>
    </row>
    <row r="155" spans="1:11" ht="25.5">
      <c r="A155" s="171"/>
      <c r="B155" s="145" t="s">
        <v>427</v>
      </c>
      <c r="C155" s="74" t="s">
        <v>127</v>
      </c>
      <c r="D155" s="73" t="s">
        <v>144</v>
      </c>
      <c r="E155" s="61">
        <v>7440</v>
      </c>
      <c r="F155" s="171"/>
      <c r="G155" s="62">
        <f>E155+F155</f>
        <v>7440</v>
      </c>
    </row>
    <row r="156" spans="1:11" ht="25.5">
      <c r="A156" s="171"/>
      <c r="B156" s="145" t="s">
        <v>492</v>
      </c>
      <c r="C156" s="74" t="s">
        <v>127</v>
      </c>
      <c r="D156" s="73" t="s">
        <v>144</v>
      </c>
      <c r="E156" s="61">
        <v>2000</v>
      </c>
      <c r="F156" s="171"/>
      <c r="G156" s="62">
        <f>E156+F156</f>
        <v>2000</v>
      </c>
      <c r="H156" s="35">
        <f>E156*E147</f>
        <v>350000</v>
      </c>
    </row>
    <row r="157" spans="1:11" ht="42" customHeight="1">
      <c r="A157" s="171"/>
      <c r="B157" s="145" t="s">
        <v>932</v>
      </c>
      <c r="C157" s="74" t="s">
        <v>127</v>
      </c>
      <c r="D157" s="73" t="s">
        <v>144</v>
      </c>
      <c r="E157" s="79">
        <v>946.5</v>
      </c>
      <c r="F157" s="171"/>
      <c r="G157" s="78">
        <f>E157+F157</f>
        <v>946.5</v>
      </c>
      <c r="H157" s="35">
        <f>G157*G148</f>
        <v>851850</v>
      </c>
      <c r="K157" s="35" t="s">
        <v>135</v>
      </c>
    </row>
    <row r="158" spans="1:11" ht="15.75">
      <c r="A158" s="52">
        <v>4</v>
      </c>
      <c r="B158" s="153" t="s">
        <v>37</v>
      </c>
      <c r="C158" s="74"/>
      <c r="D158" s="73"/>
      <c r="E158" s="72"/>
      <c r="F158" s="171"/>
      <c r="G158" s="62"/>
    </row>
    <row r="159" spans="1:11" ht="25.5">
      <c r="A159" s="171"/>
      <c r="B159" s="80" t="s">
        <v>177</v>
      </c>
      <c r="C159" s="74" t="s">
        <v>160</v>
      </c>
      <c r="D159" s="73" t="s">
        <v>144</v>
      </c>
      <c r="E159" s="75">
        <f>(E141+E142+E144+E145)/E138/1000*100</f>
        <v>2.0343902305459722</v>
      </c>
      <c r="F159" s="171"/>
      <c r="G159" s="59">
        <f t="shared" si="3"/>
        <v>2.0343902305459722</v>
      </c>
    </row>
    <row r="160" spans="1:11" ht="22.5" customHeight="1">
      <c r="A160" s="173"/>
      <c r="B160" s="217" t="s">
        <v>373</v>
      </c>
      <c r="C160" s="237"/>
      <c r="D160" s="171"/>
      <c r="E160" s="171"/>
      <c r="F160" s="171"/>
      <c r="G160" s="171"/>
    </row>
    <row r="161" spans="1:8" ht="15.75">
      <c r="A161" s="171">
        <v>1</v>
      </c>
      <c r="B161" s="153" t="s">
        <v>34</v>
      </c>
      <c r="C161" s="74"/>
      <c r="D161" s="73"/>
      <c r="E161" s="171"/>
      <c r="F161" s="171"/>
      <c r="G161" s="171"/>
    </row>
    <row r="162" spans="1:8" ht="24">
      <c r="A162" s="171"/>
      <c r="B162" s="80" t="s">
        <v>178</v>
      </c>
      <c r="C162" s="74" t="s">
        <v>141</v>
      </c>
      <c r="D162" s="73" t="s">
        <v>166</v>
      </c>
      <c r="E162" s="61">
        <v>14</v>
      </c>
      <c r="F162" s="171"/>
      <c r="G162" s="62">
        <f t="shared" ref="G162:G195" si="4">E162+F162</f>
        <v>14</v>
      </c>
    </row>
    <row r="163" spans="1:8" ht="25.5">
      <c r="A163" s="171"/>
      <c r="B163" s="80" t="s">
        <v>179</v>
      </c>
      <c r="C163" s="74" t="s">
        <v>132</v>
      </c>
      <c r="D163" s="73" t="s">
        <v>133</v>
      </c>
      <c r="E163" s="58">
        <f>E164+E165+E166+E167+E168+E169</f>
        <v>2550000</v>
      </c>
      <c r="F163" s="171"/>
      <c r="G163" s="62">
        <f t="shared" si="4"/>
        <v>2550000</v>
      </c>
      <c r="H163" s="36">
        <f>H164+H165+H166+H167+H168+H169</f>
        <v>2537883.7400000002</v>
      </c>
    </row>
    <row r="164" spans="1:8" ht="15.75">
      <c r="A164" s="171"/>
      <c r="B164" s="80" t="s">
        <v>180</v>
      </c>
      <c r="C164" s="74" t="s">
        <v>132</v>
      </c>
      <c r="D164" s="73" t="s">
        <v>133</v>
      </c>
      <c r="E164" s="58">
        <v>500000</v>
      </c>
      <c r="F164" s="171"/>
      <c r="G164" s="62">
        <f t="shared" si="4"/>
        <v>500000</v>
      </c>
      <c r="H164" s="35">
        <f>G173*G184</f>
        <v>500009.5</v>
      </c>
    </row>
    <row r="165" spans="1:8" ht="15.75">
      <c r="A165" s="171"/>
      <c r="B165" s="80" t="s">
        <v>181</v>
      </c>
      <c r="C165" s="74" t="s">
        <v>132</v>
      </c>
      <c r="D165" s="73" t="s">
        <v>133</v>
      </c>
      <c r="E165" s="58">
        <v>500000</v>
      </c>
      <c r="F165" s="171"/>
      <c r="G165" s="62">
        <f t="shared" si="4"/>
        <v>500000</v>
      </c>
      <c r="H165" s="36">
        <f>G174*G185+G175*G186</f>
        <v>499563</v>
      </c>
    </row>
    <row r="166" spans="1:8" ht="15.75">
      <c r="A166" s="171"/>
      <c r="B166" s="80" t="s">
        <v>182</v>
      </c>
      <c r="C166" s="74" t="s">
        <v>132</v>
      </c>
      <c r="D166" s="73" t="s">
        <v>133</v>
      </c>
      <c r="E166" s="58">
        <v>400000</v>
      </c>
      <c r="F166" s="171"/>
      <c r="G166" s="62">
        <f t="shared" si="4"/>
        <v>400000</v>
      </c>
      <c r="H166" s="35">
        <f>E176*E187+E177*E188+E178*E189+E179*E190</f>
        <v>388311</v>
      </c>
    </row>
    <row r="167" spans="1:8" ht="15.75">
      <c r="A167" s="171"/>
      <c r="B167" s="80" t="s">
        <v>183</v>
      </c>
      <c r="C167" s="74" t="s">
        <v>132</v>
      </c>
      <c r="D167" s="73" t="s">
        <v>133</v>
      </c>
      <c r="E167" s="58">
        <v>600000</v>
      </c>
      <c r="F167" s="171"/>
      <c r="G167" s="62">
        <f t="shared" si="4"/>
        <v>600000</v>
      </c>
      <c r="H167" s="35">
        <f>G172*G183*12</f>
        <v>600000.24</v>
      </c>
    </row>
    <row r="168" spans="1:8" ht="15.75">
      <c r="A168" s="171"/>
      <c r="B168" s="80" t="s">
        <v>184</v>
      </c>
      <c r="C168" s="74" t="s">
        <v>132</v>
      </c>
      <c r="D168" s="73" t="s">
        <v>133</v>
      </c>
      <c r="E168" s="58">
        <v>450000</v>
      </c>
      <c r="F168" s="171"/>
      <c r="G168" s="62">
        <f t="shared" si="4"/>
        <v>450000</v>
      </c>
      <c r="H168" s="35">
        <f>G171*G182</f>
        <v>450000</v>
      </c>
    </row>
    <row r="169" spans="1:8" ht="25.5">
      <c r="A169" s="171"/>
      <c r="B169" s="154" t="s">
        <v>468</v>
      </c>
      <c r="C169" s="74" t="s">
        <v>132</v>
      </c>
      <c r="D169" s="73" t="s">
        <v>133</v>
      </c>
      <c r="E169" s="58">
        <v>100000</v>
      </c>
      <c r="F169" s="171"/>
      <c r="G169" s="62">
        <f>E169</f>
        <v>100000</v>
      </c>
      <c r="H169" s="35">
        <f>G180*G191</f>
        <v>100000</v>
      </c>
    </row>
    <row r="170" spans="1:8" ht="15.75">
      <c r="A170" s="171">
        <v>2</v>
      </c>
      <c r="B170" s="153" t="s">
        <v>35</v>
      </c>
      <c r="C170" s="74"/>
      <c r="D170" s="73"/>
      <c r="E170" s="171"/>
      <c r="F170" s="171"/>
      <c r="G170" s="171"/>
    </row>
    <row r="171" spans="1:8" ht="25.5">
      <c r="A171" s="171"/>
      <c r="B171" s="145" t="s">
        <v>185</v>
      </c>
      <c r="C171" s="74" t="s">
        <v>141</v>
      </c>
      <c r="D171" s="73" t="s">
        <v>148</v>
      </c>
      <c r="E171" s="72">
        <v>2</v>
      </c>
      <c r="F171" s="171"/>
      <c r="G171" s="62">
        <f t="shared" si="4"/>
        <v>2</v>
      </c>
    </row>
    <row r="172" spans="1:8" ht="38.25">
      <c r="A172" s="171"/>
      <c r="B172" s="145" t="s">
        <v>186</v>
      </c>
      <c r="C172" s="74" t="s">
        <v>141</v>
      </c>
      <c r="D172" s="73" t="s">
        <v>148</v>
      </c>
      <c r="E172" s="72">
        <v>14</v>
      </c>
      <c r="F172" s="171"/>
      <c r="G172" s="62">
        <f t="shared" si="4"/>
        <v>14</v>
      </c>
    </row>
    <row r="173" spans="1:8" ht="25.5">
      <c r="A173" s="171"/>
      <c r="B173" s="145" t="s">
        <v>187</v>
      </c>
      <c r="C173" s="74" t="s">
        <v>171</v>
      </c>
      <c r="D173" s="73" t="s">
        <v>148</v>
      </c>
      <c r="E173" s="61">
        <v>2350</v>
      </c>
      <c r="F173" s="171"/>
      <c r="G173" s="62">
        <f t="shared" si="4"/>
        <v>2350</v>
      </c>
    </row>
    <row r="174" spans="1:8" ht="25.5">
      <c r="A174" s="171"/>
      <c r="B174" s="145" t="s">
        <v>188</v>
      </c>
      <c r="C174" s="74" t="s">
        <v>141</v>
      </c>
      <c r="D174" s="73" t="s">
        <v>148</v>
      </c>
      <c r="E174" s="72">
        <v>90</v>
      </c>
      <c r="F174" s="171"/>
      <c r="G174" s="62">
        <f t="shared" si="4"/>
        <v>90</v>
      </c>
    </row>
    <row r="175" spans="1:8" ht="25.5">
      <c r="A175" s="171"/>
      <c r="B175" s="145" t="s">
        <v>189</v>
      </c>
      <c r="C175" s="74" t="s">
        <v>141</v>
      </c>
      <c r="D175" s="73" t="s">
        <v>148</v>
      </c>
      <c r="E175" s="72">
        <v>72</v>
      </c>
      <c r="F175" s="171"/>
      <c r="G175" s="62">
        <f t="shared" si="4"/>
        <v>72</v>
      </c>
    </row>
    <row r="176" spans="1:8" ht="25.5">
      <c r="A176" s="171"/>
      <c r="B176" s="145" t="s">
        <v>429</v>
      </c>
      <c r="C176" s="74" t="s">
        <v>145</v>
      </c>
      <c r="D176" s="73" t="s">
        <v>148</v>
      </c>
      <c r="E176" s="72">
        <v>161</v>
      </c>
      <c r="F176" s="171"/>
      <c r="G176" s="62">
        <f t="shared" si="4"/>
        <v>161</v>
      </c>
    </row>
    <row r="177" spans="1:7" ht="25.5">
      <c r="A177" s="171"/>
      <c r="B177" s="145" t="s">
        <v>430</v>
      </c>
      <c r="C177" s="74" t="s">
        <v>175</v>
      </c>
      <c r="D177" s="73" t="s">
        <v>128</v>
      </c>
      <c r="E177" s="72">
        <v>25</v>
      </c>
      <c r="F177" s="171"/>
      <c r="G177" s="62">
        <f t="shared" si="4"/>
        <v>25</v>
      </c>
    </row>
    <row r="178" spans="1:7" ht="15.75">
      <c r="A178" s="171"/>
      <c r="B178" s="145" t="s">
        <v>190</v>
      </c>
      <c r="C178" s="74" t="s">
        <v>939</v>
      </c>
      <c r="D178" s="73" t="s">
        <v>128</v>
      </c>
      <c r="E178" s="72">
        <v>145</v>
      </c>
      <c r="F178" s="171"/>
      <c r="G178" s="62">
        <f t="shared" si="4"/>
        <v>145</v>
      </c>
    </row>
    <row r="179" spans="1:7" ht="15.75">
      <c r="A179" s="171"/>
      <c r="B179" s="145" t="s">
        <v>190</v>
      </c>
      <c r="C179" s="74" t="s">
        <v>488</v>
      </c>
      <c r="D179" s="73" t="s">
        <v>128</v>
      </c>
      <c r="E179" s="72">
        <v>20</v>
      </c>
      <c r="F179" s="171"/>
      <c r="G179" s="62">
        <f t="shared" si="4"/>
        <v>20</v>
      </c>
    </row>
    <row r="180" spans="1:7" ht="36.75" customHeight="1">
      <c r="A180" s="171"/>
      <c r="B180" s="145" t="s">
        <v>469</v>
      </c>
      <c r="C180" s="74" t="s">
        <v>141</v>
      </c>
      <c r="D180" s="73" t="s">
        <v>148</v>
      </c>
      <c r="E180" s="72">
        <v>4</v>
      </c>
      <c r="F180" s="171"/>
      <c r="G180" s="62">
        <f t="shared" si="4"/>
        <v>4</v>
      </c>
    </row>
    <row r="181" spans="1:7" ht="15.75">
      <c r="A181" s="171">
        <v>3</v>
      </c>
      <c r="B181" s="153" t="s">
        <v>36</v>
      </c>
      <c r="C181" s="74"/>
      <c r="D181" s="73"/>
      <c r="E181" s="171"/>
      <c r="F181" s="171"/>
      <c r="G181" s="171"/>
    </row>
    <row r="182" spans="1:7" ht="25.5">
      <c r="A182" s="171"/>
      <c r="B182" s="145" t="s">
        <v>191</v>
      </c>
      <c r="C182" s="74" t="s">
        <v>127</v>
      </c>
      <c r="D182" s="73" t="s">
        <v>156</v>
      </c>
      <c r="E182" s="61">
        <v>225000</v>
      </c>
      <c r="F182" s="171"/>
      <c r="G182" s="62">
        <f t="shared" si="4"/>
        <v>225000</v>
      </c>
    </row>
    <row r="183" spans="1:7" ht="38.25">
      <c r="A183" s="171"/>
      <c r="B183" s="145" t="s">
        <v>192</v>
      </c>
      <c r="C183" s="74" t="s">
        <v>127</v>
      </c>
      <c r="D183" s="73" t="s">
        <v>156</v>
      </c>
      <c r="E183" s="58">
        <v>3571.43</v>
      </c>
      <c r="F183" s="171"/>
      <c r="G183" s="59">
        <f t="shared" si="4"/>
        <v>3571.43</v>
      </c>
    </row>
    <row r="184" spans="1:7" ht="25.5">
      <c r="A184" s="171"/>
      <c r="B184" s="145" t="s">
        <v>193</v>
      </c>
      <c r="C184" s="74" t="s">
        <v>127</v>
      </c>
      <c r="D184" s="73" t="s">
        <v>156</v>
      </c>
      <c r="E184" s="58">
        <v>212.77</v>
      </c>
      <c r="F184" s="171"/>
      <c r="G184" s="59">
        <f t="shared" si="4"/>
        <v>212.77</v>
      </c>
    </row>
    <row r="185" spans="1:7" ht="25.5">
      <c r="A185" s="171"/>
      <c r="B185" s="145" t="s">
        <v>194</v>
      </c>
      <c r="C185" s="74" t="s">
        <v>127</v>
      </c>
      <c r="D185" s="73" t="s">
        <v>156</v>
      </c>
      <c r="E185" s="58">
        <v>4782.7</v>
      </c>
      <c r="F185" s="171"/>
      <c r="G185" s="59">
        <f t="shared" si="4"/>
        <v>4782.7</v>
      </c>
    </row>
    <row r="186" spans="1:7" ht="15.75">
      <c r="A186" s="171"/>
      <c r="B186" s="145" t="s">
        <v>195</v>
      </c>
      <c r="C186" s="74" t="s">
        <v>127</v>
      </c>
      <c r="D186" s="73" t="s">
        <v>156</v>
      </c>
      <c r="E186" s="58">
        <v>960</v>
      </c>
      <c r="F186" s="171"/>
      <c r="G186" s="59">
        <f t="shared" si="4"/>
        <v>960</v>
      </c>
    </row>
    <row r="187" spans="1:7" ht="25.5">
      <c r="A187" s="171"/>
      <c r="B187" s="145" t="s">
        <v>428</v>
      </c>
      <c r="C187" s="74" t="s">
        <v>127</v>
      </c>
      <c r="D187" s="73" t="s">
        <v>156</v>
      </c>
      <c r="E187" s="72">
        <v>651</v>
      </c>
      <c r="F187" s="171"/>
      <c r="G187" s="59">
        <f>E187+F187</f>
        <v>651</v>
      </c>
    </row>
    <row r="188" spans="1:7" ht="25.5">
      <c r="A188" s="171"/>
      <c r="B188" s="145" t="s">
        <v>431</v>
      </c>
      <c r="C188" s="74" t="s">
        <v>127</v>
      </c>
      <c r="D188" s="73" t="s">
        <v>156</v>
      </c>
      <c r="E188" s="72">
        <v>1440</v>
      </c>
      <c r="F188" s="171"/>
      <c r="G188" s="59">
        <f>E188+F188</f>
        <v>1440</v>
      </c>
    </row>
    <row r="189" spans="1:7" ht="15.75">
      <c r="A189" s="171"/>
      <c r="B189" s="145" t="s">
        <v>940</v>
      </c>
      <c r="C189" s="74" t="s">
        <v>127</v>
      </c>
      <c r="D189" s="73" t="s">
        <v>156</v>
      </c>
      <c r="E189" s="72">
        <v>1500</v>
      </c>
      <c r="F189" s="171"/>
      <c r="G189" s="59">
        <f t="shared" si="4"/>
        <v>1500</v>
      </c>
    </row>
    <row r="190" spans="1:7" ht="36" customHeight="1">
      <c r="A190" s="171"/>
      <c r="B190" s="145" t="s">
        <v>489</v>
      </c>
      <c r="C190" s="74" t="s">
        <v>127</v>
      </c>
      <c r="D190" s="73" t="s">
        <v>156</v>
      </c>
      <c r="E190" s="58">
        <v>1500</v>
      </c>
      <c r="F190" s="171"/>
      <c r="G190" s="59">
        <f>E190</f>
        <v>1500</v>
      </c>
    </row>
    <row r="191" spans="1:7" ht="25.5">
      <c r="A191" s="171"/>
      <c r="B191" s="145" t="s">
        <v>470</v>
      </c>
      <c r="C191" s="74" t="s">
        <v>127</v>
      </c>
      <c r="D191" s="73" t="s">
        <v>156</v>
      </c>
      <c r="E191" s="58">
        <f>E169/E180</f>
        <v>25000</v>
      </c>
      <c r="F191" s="171"/>
      <c r="G191" s="59">
        <f t="shared" si="4"/>
        <v>25000</v>
      </c>
    </row>
    <row r="192" spans="1:7" ht="15.75">
      <c r="A192" s="171">
        <v>4</v>
      </c>
      <c r="B192" s="153" t="s">
        <v>37</v>
      </c>
      <c r="C192" s="74"/>
      <c r="D192" s="73"/>
      <c r="E192" s="171"/>
      <c r="F192" s="171"/>
      <c r="G192" s="171"/>
    </row>
    <row r="193" spans="1:8" ht="25.5">
      <c r="A193" s="171"/>
      <c r="B193" s="80" t="s">
        <v>196</v>
      </c>
      <c r="C193" s="76" t="s">
        <v>160</v>
      </c>
      <c r="D193" s="82" t="s">
        <v>144</v>
      </c>
      <c r="E193" s="72">
        <v>100</v>
      </c>
      <c r="F193" s="171"/>
      <c r="G193" s="59">
        <f t="shared" si="4"/>
        <v>100</v>
      </c>
    </row>
    <row r="194" spans="1:8" ht="25.5">
      <c r="A194" s="171"/>
      <c r="B194" s="80" t="s">
        <v>197</v>
      </c>
      <c r="C194" s="76" t="s">
        <v>160</v>
      </c>
      <c r="D194" s="82" t="s">
        <v>144</v>
      </c>
      <c r="E194" s="75">
        <v>14.285714285714285</v>
      </c>
      <c r="F194" s="171"/>
      <c r="G194" s="59">
        <f t="shared" si="4"/>
        <v>14.285714285714285</v>
      </c>
    </row>
    <row r="195" spans="1:8" ht="25.5">
      <c r="A195" s="171"/>
      <c r="B195" s="80" t="s">
        <v>198</v>
      </c>
      <c r="C195" s="76" t="s">
        <v>160</v>
      </c>
      <c r="D195" s="82" t="s">
        <v>144</v>
      </c>
      <c r="E195" s="75">
        <v>35.098413631022339</v>
      </c>
      <c r="F195" s="171"/>
      <c r="G195" s="59">
        <f t="shared" si="4"/>
        <v>35.098413631022339</v>
      </c>
    </row>
    <row r="196" spans="1:8" ht="25.5">
      <c r="A196" s="171"/>
      <c r="B196" s="168" t="s">
        <v>894</v>
      </c>
      <c r="C196" s="76"/>
      <c r="D196" s="82"/>
      <c r="E196" s="75"/>
      <c r="F196" s="171"/>
      <c r="G196" s="59"/>
    </row>
    <row r="197" spans="1:8" ht="15.75">
      <c r="A197" s="171">
        <v>1</v>
      </c>
      <c r="B197" s="155" t="s">
        <v>34</v>
      </c>
      <c r="C197" s="76"/>
      <c r="D197" s="82"/>
      <c r="E197" s="75"/>
      <c r="F197" s="171"/>
      <c r="G197" s="59"/>
    </row>
    <row r="198" spans="1:8" ht="25.5">
      <c r="A198" s="171"/>
      <c r="B198" s="85" t="s">
        <v>895</v>
      </c>
      <c r="C198" s="76" t="s">
        <v>127</v>
      </c>
      <c r="D198" s="82" t="s">
        <v>128</v>
      </c>
      <c r="E198" s="58">
        <v>250000</v>
      </c>
      <c r="F198" s="171"/>
      <c r="G198" s="59">
        <f>E198</f>
        <v>250000</v>
      </c>
    </row>
    <row r="199" spans="1:8" ht="15.75">
      <c r="A199" s="171">
        <v>2</v>
      </c>
      <c r="B199" s="155" t="s">
        <v>35</v>
      </c>
      <c r="C199" s="76"/>
      <c r="D199" s="82"/>
      <c r="E199" s="75"/>
      <c r="F199" s="171"/>
      <c r="G199" s="59"/>
    </row>
    <row r="200" spans="1:8" ht="38.25">
      <c r="A200" s="171"/>
      <c r="B200" s="106" t="s">
        <v>896</v>
      </c>
      <c r="C200" s="74" t="s">
        <v>171</v>
      </c>
      <c r="D200" s="73" t="s">
        <v>128</v>
      </c>
      <c r="E200" s="75">
        <f>E198/E202</f>
        <v>263.15789473684208</v>
      </c>
      <c r="F200" s="171"/>
      <c r="G200" s="59">
        <f>E200</f>
        <v>263.15789473684208</v>
      </c>
    </row>
    <row r="201" spans="1:8" ht="15.75">
      <c r="A201" s="171">
        <v>3</v>
      </c>
      <c r="B201" s="155" t="s">
        <v>36</v>
      </c>
      <c r="C201" s="76"/>
      <c r="D201" s="82"/>
      <c r="E201" s="75"/>
      <c r="F201" s="171"/>
      <c r="G201" s="59"/>
    </row>
    <row r="202" spans="1:8" ht="25.5">
      <c r="A202" s="171"/>
      <c r="B202" s="85" t="s">
        <v>897</v>
      </c>
      <c r="C202" s="74" t="s">
        <v>127</v>
      </c>
      <c r="D202" s="73" t="s">
        <v>156</v>
      </c>
      <c r="E202" s="75">
        <v>950</v>
      </c>
      <c r="F202" s="171"/>
      <c r="G202" s="59">
        <f>E202</f>
        <v>950</v>
      </c>
    </row>
    <row r="203" spans="1:8" ht="15.75">
      <c r="A203" s="171">
        <v>4</v>
      </c>
      <c r="B203" s="155" t="s">
        <v>37</v>
      </c>
      <c r="C203" s="76"/>
      <c r="D203" s="82"/>
      <c r="E203" s="75"/>
      <c r="F203" s="171"/>
      <c r="G203" s="59"/>
    </row>
    <row r="204" spans="1:8" ht="25.5">
      <c r="A204" s="171"/>
      <c r="B204" s="80" t="s">
        <v>898</v>
      </c>
      <c r="C204" s="76" t="s">
        <v>160</v>
      </c>
      <c r="D204" s="82" t="s">
        <v>144</v>
      </c>
      <c r="E204" s="75">
        <v>100</v>
      </c>
      <c r="F204" s="171"/>
      <c r="G204" s="59">
        <f>E204</f>
        <v>100</v>
      </c>
    </row>
    <row r="205" spans="1:8" ht="23.25" customHeight="1">
      <c r="A205" s="173">
        <v>3</v>
      </c>
      <c r="B205" s="221" t="s">
        <v>366</v>
      </c>
      <c r="C205" s="221"/>
      <c r="D205" s="82"/>
      <c r="E205" s="75"/>
      <c r="F205" s="171"/>
      <c r="G205" s="59"/>
    </row>
    <row r="206" spans="1:8" ht="23.25" customHeight="1">
      <c r="A206" s="173"/>
      <c r="B206" s="217" t="s">
        <v>374</v>
      </c>
      <c r="C206" s="218"/>
      <c r="D206" s="171"/>
      <c r="E206" s="171"/>
      <c r="F206" s="171"/>
      <c r="G206" s="171"/>
    </row>
    <row r="207" spans="1:8" ht="21.75" customHeight="1">
      <c r="A207" s="171">
        <v>1</v>
      </c>
      <c r="B207" s="168" t="s">
        <v>34</v>
      </c>
      <c r="C207" s="76"/>
      <c r="D207" s="82"/>
      <c r="E207" s="171"/>
      <c r="F207" s="171"/>
      <c r="G207" s="171"/>
    </row>
    <row r="208" spans="1:8" ht="21.75" customHeight="1">
      <c r="A208" s="171"/>
      <c r="B208" s="80" t="s">
        <v>199</v>
      </c>
      <c r="C208" s="76" t="s">
        <v>127</v>
      </c>
      <c r="D208" s="82" t="s">
        <v>128</v>
      </c>
      <c r="E208" s="179">
        <f>1080000-15000</f>
        <v>1065000</v>
      </c>
      <c r="F208" s="171"/>
      <c r="G208" s="62">
        <f>E208+F208</f>
        <v>1065000</v>
      </c>
      <c r="H208" s="35">
        <f>H210+H211+H212</f>
        <v>1065000.3500000001</v>
      </c>
    </row>
    <row r="209" spans="1:10" ht="15.75">
      <c r="A209" s="171">
        <v>2</v>
      </c>
      <c r="B209" s="168" t="s">
        <v>35</v>
      </c>
      <c r="C209" s="76"/>
      <c r="D209" s="82"/>
      <c r="E209" s="72"/>
      <c r="F209" s="171"/>
      <c r="G209" s="171"/>
    </row>
    <row r="210" spans="1:10" ht="25.5">
      <c r="A210" s="171"/>
      <c r="B210" s="80" t="s">
        <v>200</v>
      </c>
      <c r="C210" s="76" t="s">
        <v>129</v>
      </c>
      <c r="D210" s="82" t="s">
        <v>128</v>
      </c>
      <c r="E210" s="72">
        <v>203</v>
      </c>
      <c r="F210" s="171"/>
      <c r="G210" s="62">
        <f>E210+F210</f>
        <v>203</v>
      </c>
      <c r="H210" s="35">
        <f>G210*G214</f>
        <v>602100.03</v>
      </c>
    </row>
    <row r="211" spans="1:10" ht="25.5">
      <c r="A211" s="171"/>
      <c r="B211" s="80" t="s">
        <v>201</v>
      </c>
      <c r="C211" s="76" t="s">
        <v>129</v>
      </c>
      <c r="D211" s="82" t="s">
        <v>128</v>
      </c>
      <c r="E211" s="72">
        <v>268</v>
      </c>
      <c r="F211" s="171"/>
      <c r="G211" s="62">
        <f>E211+F211</f>
        <v>268</v>
      </c>
      <c r="H211" s="35">
        <f>G211*G215</f>
        <v>281400</v>
      </c>
      <c r="I211" s="35">
        <f>H211+H212</f>
        <v>462900.32</v>
      </c>
    </row>
    <row r="212" spans="1:10" ht="25.5">
      <c r="A212" s="171"/>
      <c r="B212" s="80" t="s">
        <v>452</v>
      </c>
      <c r="C212" s="76" t="s">
        <v>129</v>
      </c>
      <c r="D212" s="82" t="s">
        <v>128</v>
      </c>
      <c r="E212" s="72">
        <v>268</v>
      </c>
      <c r="F212" s="171"/>
      <c r="G212" s="62">
        <f>E212+F212</f>
        <v>268</v>
      </c>
      <c r="H212" s="35">
        <f>G212*G216</f>
        <v>181500.32</v>
      </c>
    </row>
    <row r="213" spans="1:10" ht="15.75">
      <c r="A213" s="171">
        <v>3</v>
      </c>
      <c r="B213" s="168" t="s">
        <v>36</v>
      </c>
      <c r="C213" s="76"/>
      <c r="D213" s="82"/>
      <c r="E213" s="72"/>
      <c r="F213" s="171"/>
      <c r="G213" s="171"/>
    </row>
    <row r="214" spans="1:10" ht="25.5">
      <c r="A214" s="171"/>
      <c r="B214" s="80" t="s">
        <v>202</v>
      </c>
      <c r="C214" s="76" t="s">
        <v>127</v>
      </c>
      <c r="D214" s="82" t="s">
        <v>203</v>
      </c>
      <c r="E214" s="192">
        <v>2966.01</v>
      </c>
      <c r="F214" s="171"/>
      <c r="G214" s="59">
        <f>E214+F214</f>
        <v>2966.01</v>
      </c>
    </row>
    <row r="215" spans="1:10" ht="15.75">
      <c r="A215" s="171"/>
      <c r="B215" s="80" t="s">
        <v>204</v>
      </c>
      <c r="C215" s="76" t="s">
        <v>127</v>
      </c>
      <c r="D215" s="82" t="s">
        <v>203</v>
      </c>
      <c r="E215" s="192">
        <v>1050</v>
      </c>
      <c r="F215" s="171"/>
      <c r="G215" s="62">
        <f>E215+F215</f>
        <v>1050</v>
      </c>
      <c r="J215" s="37"/>
    </row>
    <row r="216" spans="1:10" ht="25.5">
      <c r="A216" s="171"/>
      <c r="B216" s="80" t="s">
        <v>453</v>
      </c>
      <c r="C216" s="76" t="s">
        <v>127</v>
      </c>
      <c r="D216" s="82" t="s">
        <v>203</v>
      </c>
      <c r="E216" s="192">
        <v>677.24</v>
      </c>
      <c r="F216" s="171"/>
      <c r="G216" s="59">
        <f>E216+F216</f>
        <v>677.24</v>
      </c>
    </row>
    <row r="217" spans="1:10" ht="15.75">
      <c r="A217" s="171">
        <v>4</v>
      </c>
      <c r="B217" s="168" t="s">
        <v>37</v>
      </c>
      <c r="C217" s="52"/>
      <c r="D217" s="171"/>
      <c r="E217" s="171"/>
      <c r="F217" s="171"/>
      <c r="G217" s="171"/>
    </row>
    <row r="218" spans="1:10" ht="25.5">
      <c r="A218" s="171"/>
      <c r="B218" s="80" t="s">
        <v>205</v>
      </c>
      <c r="C218" s="76" t="s">
        <v>160</v>
      </c>
      <c r="D218" s="82" t="s">
        <v>144</v>
      </c>
      <c r="E218" s="83">
        <v>12.78</v>
      </c>
      <c r="F218" s="171"/>
      <c r="G218" s="59">
        <f>E218+F218</f>
        <v>12.78</v>
      </c>
    </row>
    <row r="219" spans="1:10" ht="22.5" customHeight="1">
      <c r="A219" s="173">
        <v>4</v>
      </c>
      <c r="B219" s="221" t="s">
        <v>367</v>
      </c>
      <c r="C219" s="221"/>
      <c r="D219" s="82"/>
      <c r="E219" s="171"/>
      <c r="F219" s="171"/>
      <c r="G219" s="59"/>
    </row>
    <row r="220" spans="1:10" ht="30" customHeight="1">
      <c r="A220" s="173"/>
      <c r="B220" s="235" t="s">
        <v>375</v>
      </c>
      <c r="C220" s="236"/>
      <c r="D220" s="171"/>
      <c r="E220" s="171"/>
      <c r="F220" s="171"/>
      <c r="G220" s="171"/>
    </row>
    <row r="221" spans="1:10" ht="15.75">
      <c r="A221" s="171">
        <v>1</v>
      </c>
      <c r="B221" s="168" t="s">
        <v>34</v>
      </c>
      <c r="C221" s="76"/>
      <c r="D221" s="82"/>
      <c r="E221" s="171"/>
      <c r="F221" s="171"/>
      <c r="G221" s="171"/>
    </row>
    <row r="222" spans="1:10" ht="15.75">
      <c r="A222" s="171"/>
      <c r="B222" s="80" t="s">
        <v>206</v>
      </c>
      <c r="C222" s="76" t="s">
        <v>127</v>
      </c>
      <c r="D222" s="82" t="s">
        <v>128</v>
      </c>
      <c r="E222" s="179">
        <f>2500000+200000</f>
        <v>2700000</v>
      </c>
      <c r="F222" s="171"/>
      <c r="G222" s="62">
        <f>E222+F222</f>
        <v>2700000</v>
      </c>
    </row>
    <row r="223" spans="1:10" ht="15.75">
      <c r="A223" s="171"/>
      <c r="B223" s="80" t="s">
        <v>207</v>
      </c>
      <c r="C223" s="76" t="s">
        <v>208</v>
      </c>
      <c r="D223" s="82" t="s">
        <v>209</v>
      </c>
      <c r="E223" s="72">
        <v>53</v>
      </c>
      <c r="F223" s="171"/>
      <c r="G223" s="62">
        <f>E223+F223</f>
        <v>53</v>
      </c>
    </row>
    <row r="224" spans="1:10" ht="15.75">
      <c r="A224" s="171">
        <v>2</v>
      </c>
      <c r="B224" s="168" t="s">
        <v>35</v>
      </c>
      <c r="C224" s="76"/>
      <c r="D224" s="82"/>
      <c r="E224" s="171"/>
      <c r="F224" s="171"/>
      <c r="G224" s="171"/>
    </row>
    <row r="225" spans="1:8" ht="25.5">
      <c r="A225" s="171"/>
      <c r="B225" s="80" t="s">
        <v>210</v>
      </c>
      <c r="C225" s="76" t="s">
        <v>208</v>
      </c>
      <c r="D225" s="82" t="s">
        <v>128</v>
      </c>
      <c r="E225" s="171">
        <v>34</v>
      </c>
      <c r="F225" s="171"/>
      <c r="G225" s="62">
        <f>E225+F225</f>
        <v>34</v>
      </c>
    </row>
    <row r="226" spans="1:8" ht="15.75">
      <c r="A226" s="171">
        <v>3</v>
      </c>
      <c r="B226" s="168" t="s">
        <v>36</v>
      </c>
      <c r="C226" s="52"/>
      <c r="D226" s="171"/>
      <c r="E226" s="171"/>
      <c r="F226" s="171"/>
      <c r="G226" s="171"/>
    </row>
    <row r="227" spans="1:8" ht="25.5">
      <c r="A227" s="171"/>
      <c r="B227" s="80" t="s">
        <v>211</v>
      </c>
      <c r="C227" s="76" t="s">
        <v>127</v>
      </c>
      <c r="D227" s="82" t="s">
        <v>144</v>
      </c>
      <c r="E227" s="180">
        <f>E222/E225/12</f>
        <v>6617.6470588235288</v>
      </c>
      <c r="F227" s="171"/>
      <c r="G227" s="59">
        <f>E227+F227</f>
        <v>6617.6470588235288</v>
      </c>
    </row>
    <row r="228" spans="1:8" ht="15.75">
      <c r="A228" s="171">
        <v>4</v>
      </c>
      <c r="B228" s="168" t="s">
        <v>37</v>
      </c>
      <c r="C228" s="76"/>
      <c r="D228" s="82"/>
      <c r="E228" s="171"/>
      <c r="F228" s="171"/>
      <c r="G228" s="171"/>
    </row>
    <row r="229" spans="1:8" ht="25.5">
      <c r="A229" s="171"/>
      <c r="B229" s="80" t="s">
        <v>212</v>
      </c>
      <c r="C229" s="76" t="s">
        <v>160</v>
      </c>
      <c r="D229" s="82" t="s">
        <v>156</v>
      </c>
      <c r="E229" s="84">
        <v>64</v>
      </c>
      <c r="F229" s="171"/>
      <c r="G229" s="62">
        <f>E229+F229</f>
        <v>64</v>
      </c>
    </row>
    <row r="230" spans="1:8" ht="21" customHeight="1">
      <c r="A230" s="173">
        <v>5</v>
      </c>
      <c r="B230" s="209" t="s">
        <v>368</v>
      </c>
      <c r="C230" s="210"/>
      <c r="D230" s="82"/>
      <c r="E230" s="84"/>
      <c r="F230" s="171"/>
      <c r="G230" s="59"/>
    </row>
    <row r="231" spans="1:8" ht="17.25" customHeight="1">
      <c r="A231" s="173"/>
      <c r="B231" s="168" t="s">
        <v>376</v>
      </c>
      <c r="C231" s="76"/>
      <c r="D231" s="82"/>
      <c r="E231" s="171"/>
      <c r="F231" s="171"/>
      <c r="G231" s="171"/>
    </row>
    <row r="232" spans="1:8" ht="15.75">
      <c r="A232" s="171">
        <v>1</v>
      </c>
      <c r="B232" s="168" t="s">
        <v>34</v>
      </c>
      <c r="C232" s="76"/>
      <c r="D232" s="82"/>
      <c r="E232" s="171"/>
      <c r="F232" s="171"/>
      <c r="G232" s="171"/>
    </row>
    <row r="233" spans="1:8" ht="18.75" customHeight="1">
      <c r="A233" s="171"/>
      <c r="B233" s="80" t="s">
        <v>125</v>
      </c>
      <c r="C233" s="76" t="s">
        <v>127</v>
      </c>
      <c r="D233" s="82" t="s">
        <v>128</v>
      </c>
      <c r="E233" s="61">
        <f>7500000</f>
        <v>7500000</v>
      </c>
      <c r="F233" s="171"/>
      <c r="G233" s="62">
        <f>E233+F233</f>
        <v>7500000</v>
      </c>
      <c r="H233" s="124">
        <f>H235+H236+H237+H238+H239+H240+H241+H242+H243+H244+H245+H246+H247+H248+H249</f>
        <v>7500065.5999999996</v>
      </c>
    </row>
    <row r="234" spans="1:8" ht="15.75">
      <c r="A234" s="171">
        <v>2</v>
      </c>
      <c r="B234" s="168" t="s">
        <v>35</v>
      </c>
      <c r="C234" s="52"/>
      <c r="D234" s="171"/>
      <c r="E234" s="171"/>
      <c r="F234" s="171"/>
      <c r="G234" s="171"/>
    </row>
    <row r="235" spans="1:8" ht="38.25">
      <c r="A235" s="171"/>
      <c r="B235" s="80" t="s">
        <v>219</v>
      </c>
      <c r="C235" s="76" t="s">
        <v>171</v>
      </c>
      <c r="D235" s="82" t="s">
        <v>128</v>
      </c>
      <c r="E235" s="171">
        <v>3800</v>
      </c>
      <c r="F235" s="171"/>
      <c r="G235" s="62">
        <f t="shared" ref="G235:G261" si="5">E235+F235</f>
        <v>3800</v>
      </c>
      <c r="H235" s="35">
        <f>G235*E251</f>
        <v>50160</v>
      </c>
    </row>
    <row r="236" spans="1:8" ht="38.25">
      <c r="A236" s="171"/>
      <c r="B236" s="80" t="s">
        <v>435</v>
      </c>
      <c r="C236" s="76" t="s">
        <v>141</v>
      </c>
      <c r="D236" s="82" t="s">
        <v>128</v>
      </c>
      <c r="E236" s="134">
        <v>950</v>
      </c>
      <c r="F236" s="171"/>
      <c r="G236" s="62">
        <f t="shared" si="5"/>
        <v>950</v>
      </c>
      <c r="H236" s="35">
        <f>G236*E252</f>
        <v>751383.5</v>
      </c>
    </row>
    <row r="237" spans="1:8" ht="25.5">
      <c r="A237" s="171"/>
      <c r="B237" s="80" t="s">
        <v>436</v>
      </c>
      <c r="C237" s="76" t="s">
        <v>143</v>
      </c>
      <c r="D237" s="82" t="s">
        <v>128</v>
      </c>
      <c r="E237" s="62">
        <v>30</v>
      </c>
      <c r="F237" s="171"/>
      <c r="G237" s="62">
        <f t="shared" si="5"/>
        <v>30</v>
      </c>
      <c r="H237" s="35">
        <f>E237*E253</f>
        <v>72000</v>
      </c>
    </row>
    <row r="238" spans="1:8" ht="25.5">
      <c r="A238" s="171"/>
      <c r="B238" s="80" t="s">
        <v>213</v>
      </c>
      <c r="C238" s="76" t="s">
        <v>214</v>
      </c>
      <c r="D238" s="82" t="s">
        <v>128</v>
      </c>
      <c r="E238" s="134">
        <v>5529</v>
      </c>
      <c r="F238" s="171"/>
      <c r="G238" s="62">
        <f t="shared" si="5"/>
        <v>5529</v>
      </c>
      <c r="H238" s="35">
        <f>G238*G254</f>
        <v>1127916</v>
      </c>
    </row>
    <row r="239" spans="1:8" ht="15.75">
      <c r="A239" s="171"/>
      <c r="B239" s="80" t="s">
        <v>440</v>
      </c>
      <c r="C239" s="76" t="s">
        <v>214</v>
      </c>
      <c r="D239" s="82" t="s">
        <v>128</v>
      </c>
      <c r="E239" s="134">
        <v>250000</v>
      </c>
      <c r="F239" s="171"/>
      <c r="G239" s="62">
        <f t="shared" si="5"/>
        <v>250000</v>
      </c>
      <c r="H239" s="35">
        <f>E239*E255</f>
        <v>2700000</v>
      </c>
    </row>
    <row r="240" spans="1:8" ht="22.5" customHeight="1">
      <c r="A240" s="171"/>
      <c r="B240" s="80" t="s">
        <v>215</v>
      </c>
      <c r="C240" s="76" t="s">
        <v>214</v>
      </c>
      <c r="D240" s="82" t="s">
        <v>128</v>
      </c>
      <c r="E240" s="134">
        <v>1000</v>
      </c>
      <c r="F240" s="171"/>
      <c r="G240" s="62">
        <f t="shared" si="5"/>
        <v>1000</v>
      </c>
      <c r="H240" s="35">
        <f>G240*G256</f>
        <v>300000</v>
      </c>
    </row>
    <row r="241" spans="1:8" ht="15.75">
      <c r="A241" s="171"/>
      <c r="B241" s="80" t="s">
        <v>216</v>
      </c>
      <c r="C241" s="76" t="s">
        <v>214</v>
      </c>
      <c r="D241" s="82" t="s">
        <v>128</v>
      </c>
      <c r="E241" s="134">
        <v>3000</v>
      </c>
      <c r="F241" s="171"/>
      <c r="G241" s="62">
        <f t="shared" si="5"/>
        <v>3000</v>
      </c>
      <c r="H241" s="35">
        <f>G241*G257</f>
        <v>1260000</v>
      </c>
    </row>
    <row r="242" spans="1:8" ht="25.5">
      <c r="A242" s="171"/>
      <c r="B242" s="80" t="s">
        <v>217</v>
      </c>
      <c r="C242" s="76" t="s">
        <v>214</v>
      </c>
      <c r="D242" s="82" t="s">
        <v>128</v>
      </c>
      <c r="E242" s="134">
        <v>9000</v>
      </c>
      <c r="F242" s="171"/>
      <c r="G242" s="62">
        <f t="shared" si="5"/>
        <v>9000</v>
      </c>
      <c r="H242" s="35">
        <f>E242*E258</f>
        <v>108000</v>
      </c>
    </row>
    <row r="243" spans="1:8" ht="15.75">
      <c r="A243" s="171"/>
      <c r="B243" s="80" t="s">
        <v>218</v>
      </c>
      <c r="C243" s="76" t="s">
        <v>141</v>
      </c>
      <c r="D243" s="82" t="s">
        <v>128</v>
      </c>
      <c r="E243" s="134">
        <v>200</v>
      </c>
      <c r="F243" s="171"/>
      <c r="G243" s="62">
        <f t="shared" si="5"/>
        <v>200</v>
      </c>
      <c r="H243" s="35">
        <f>G243*G259</f>
        <v>76800</v>
      </c>
    </row>
    <row r="244" spans="1:8" ht="25.5">
      <c r="A244" s="171"/>
      <c r="B244" s="80" t="s">
        <v>433</v>
      </c>
      <c r="C244" s="76" t="s">
        <v>141</v>
      </c>
      <c r="D244" s="82" t="s">
        <v>128</v>
      </c>
      <c r="E244" s="134">
        <v>20</v>
      </c>
      <c r="F244" s="171"/>
      <c r="G244" s="62">
        <f t="shared" si="5"/>
        <v>20</v>
      </c>
      <c r="H244" s="35">
        <f>G244*G260</f>
        <v>248400</v>
      </c>
    </row>
    <row r="245" spans="1:8" ht="38.25">
      <c r="A245" s="171"/>
      <c r="B245" s="80" t="s">
        <v>438</v>
      </c>
      <c r="C245" s="76" t="s">
        <v>145</v>
      </c>
      <c r="D245" s="82" t="s">
        <v>128</v>
      </c>
      <c r="E245" s="134">
        <v>55</v>
      </c>
      <c r="F245" s="171"/>
      <c r="G245" s="62">
        <f t="shared" si="5"/>
        <v>55</v>
      </c>
      <c r="H245" s="35">
        <f>E245*E261</f>
        <v>158400</v>
      </c>
    </row>
    <row r="246" spans="1:8" ht="25.5">
      <c r="A246" s="171"/>
      <c r="B246" s="80" t="s">
        <v>220</v>
      </c>
      <c r="C246" s="76" t="s">
        <v>145</v>
      </c>
      <c r="D246" s="82" t="s">
        <v>128</v>
      </c>
      <c r="E246" s="134">
        <v>170</v>
      </c>
      <c r="F246" s="171"/>
      <c r="G246" s="62">
        <f t="shared" si="5"/>
        <v>170</v>
      </c>
      <c r="H246" s="35">
        <f>G246*G262</f>
        <v>439200.10000000003</v>
      </c>
    </row>
    <row r="247" spans="1:8" ht="15.75">
      <c r="A247" s="171"/>
      <c r="B247" s="80" t="s">
        <v>221</v>
      </c>
      <c r="C247" s="76" t="s">
        <v>171</v>
      </c>
      <c r="D247" s="82" t="s">
        <v>128</v>
      </c>
      <c r="E247" s="134">
        <v>5000</v>
      </c>
      <c r="F247" s="171"/>
      <c r="G247" s="62">
        <f t="shared" si="5"/>
        <v>5000</v>
      </c>
      <c r="H247" s="35">
        <f>G247*G263</f>
        <v>36000</v>
      </c>
    </row>
    <row r="248" spans="1:8" ht="15.75">
      <c r="A248" s="171"/>
      <c r="B248" s="80" t="s">
        <v>432</v>
      </c>
      <c r="C248" s="76" t="s">
        <v>143</v>
      </c>
      <c r="D248" s="82" t="s">
        <v>128</v>
      </c>
      <c r="E248" s="134">
        <v>900</v>
      </c>
      <c r="F248" s="171"/>
      <c r="G248" s="62">
        <f t="shared" si="5"/>
        <v>900</v>
      </c>
      <c r="H248" s="35">
        <f>G248*G264</f>
        <v>118800</v>
      </c>
    </row>
    <row r="249" spans="1:8" ht="49.5" customHeight="1">
      <c r="A249" s="171"/>
      <c r="B249" s="126" t="s">
        <v>504</v>
      </c>
      <c r="C249" s="156" t="s">
        <v>171</v>
      </c>
      <c r="D249" s="125" t="s">
        <v>505</v>
      </c>
      <c r="E249" s="134">
        <v>3400</v>
      </c>
      <c r="F249" s="171"/>
      <c r="G249" s="62">
        <f t="shared" si="5"/>
        <v>3400</v>
      </c>
      <c r="H249" s="35">
        <f>G249*G265</f>
        <v>53006</v>
      </c>
    </row>
    <row r="250" spans="1:8" ht="15.75">
      <c r="A250" s="171">
        <v>3</v>
      </c>
      <c r="B250" s="168" t="s">
        <v>36</v>
      </c>
      <c r="C250" s="52"/>
      <c r="D250" s="171"/>
      <c r="E250" s="171"/>
      <c r="F250" s="171"/>
      <c r="G250" s="59"/>
    </row>
    <row r="251" spans="1:8" ht="25.5">
      <c r="A251" s="171"/>
      <c r="B251" s="80" t="s">
        <v>228</v>
      </c>
      <c r="C251" s="76" t="s">
        <v>127</v>
      </c>
      <c r="D251" s="82" t="s">
        <v>144</v>
      </c>
      <c r="E251" s="133">
        <v>13.2</v>
      </c>
      <c r="F251" s="171"/>
      <c r="G251" s="59">
        <f>E251+F251</f>
        <v>13.2</v>
      </c>
    </row>
    <row r="252" spans="1:8" ht="25.5">
      <c r="A252" s="171"/>
      <c r="B252" s="80" t="s">
        <v>222</v>
      </c>
      <c r="C252" s="76" t="s">
        <v>132</v>
      </c>
      <c r="D252" s="82" t="s">
        <v>156</v>
      </c>
      <c r="E252" s="133">
        <v>790.93</v>
      </c>
      <c r="F252" s="171"/>
      <c r="G252" s="59">
        <f t="shared" si="5"/>
        <v>790.93</v>
      </c>
    </row>
    <row r="253" spans="1:8" ht="25.5">
      <c r="A253" s="171"/>
      <c r="B253" s="80" t="s">
        <v>437</v>
      </c>
      <c r="C253" s="76" t="s">
        <v>132</v>
      </c>
      <c r="D253" s="82" t="s">
        <v>156</v>
      </c>
      <c r="E253" s="133">
        <v>2400</v>
      </c>
      <c r="F253" s="171"/>
      <c r="G253" s="59">
        <f>E253+F253</f>
        <v>2400</v>
      </c>
    </row>
    <row r="254" spans="1:8" ht="15.75">
      <c r="A254" s="171"/>
      <c r="B254" s="80" t="s">
        <v>224</v>
      </c>
      <c r="C254" s="76" t="s">
        <v>132</v>
      </c>
      <c r="D254" s="82" t="s">
        <v>156</v>
      </c>
      <c r="E254" s="133">
        <v>204</v>
      </c>
      <c r="F254" s="171"/>
      <c r="G254" s="59">
        <f t="shared" ref="G254:G260" si="6">E254+F254</f>
        <v>204</v>
      </c>
    </row>
    <row r="255" spans="1:8" ht="15.75">
      <c r="A255" s="171"/>
      <c r="B255" s="80" t="s">
        <v>439</v>
      </c>
      <c r="C255" s="76" t="s">
        <v>132</v>
      </c>
      <c r="D255" s="82" t="s">
        <v>156</v>
      </c>
      <c r="E255" s="133">
        <v>10.8</v>
      </c>
      <c r="F255" s="171"/>
      <c r="G255" s="59">
        <f t="shared" si="6"/>
        <v>10.8</v>
      </c>
    </row>
    <row r="256" spans="1:8" ht="15.75">
      <c r="A256" s="171"/>
      <c r="B256" s="80" t="s">
        <v>225</v>
      </c>
      <c r="C256" s="76" t="s">
        <v>132</v>
      </c>
      <c r="D256" s="82" t="s">
        <v>156</v>
      </c>
      <c r="E256" s="133">
        <v>300</v>
      </c>
      <c r="F256" s="171"/>
      <c r="G256" s="59">
        <f t="shared" si="6"/>
        <v>300</v>
      </c>
    </row>
    <row r="257" spans="1:7" ht="25.5">
      <c r="A257" s="171"/>
      <c r="B257" s="80" t="s">
        <v>226</v>
      </c>
      <c r="C257" s="76" t="s">
        <v>132</v>
      </c>
      <c r="D257" s="82" t="s">
        <v>156</v>
      </c>
      <c r="E257" s="133">
        <v>420</v>
      </c>
      <c r="F257" s="171"/>
      <c r="G257" s="59">
        <f t="shared" si="6"/>
        <v>420</v>
      </c>
    </row>
    <row r="258" spans="1:7" ht="15.75">
      <c r="A258" s="171"/>
      <c r="B258" s="80" t="s">
        <v>227</v>
      </c>
      <c r="C258" s="76" t="s">
        <v>132</v>
      </c>
      <c r="D258" s="82" t="s">
        <v>156</v>
      </c>
      <c r="E258" s="133">
        <v>12</v>
      </c>
      <c r="F258" s="171"/>
      <c r="G258" s="59">
        <f t="shared" si="6"/>
        <v>12</v>
      </c>
    </row>
    <row r="259" spans="1:7" ht="15.75">
      <c r="A259" s="171"/>
      <c r="B259" s="80" t="s">
        <v>229</v>
      </c>
      <c r="C259" s="76" t="s">
        <v>127</v>
      </c>
      <c r="D259" s="82" t="s">
        <v>144</v>
      </c>
      <c r="E259" s="133">
        <v>384</v>
      </c>
      <c r="F259" s="171"/>
      <c r="G259" s="59">
        <f t="shared" si="6"/>
        <v>384</v>
      </c>
    </row>
    <row r="260" spans="1:7" ht="25.5">
      <c r="A260" s="171"/>
      <c r="B260" s="80" t="s">
        <v>434</v>
      </c>
      <c r="C260" s="76" t="s">
        <v>127</v>
      </c>
      <c r="D260" s="82" t="s">
        <v>144</v>
      </c>
      <c r="E260" s="65">
        <v>12420</v>
      </c>
      <c r="F260" s="171"/>
      <c r="G260" s="59">
        <f t="shared" si="6"/>
        <v>12420</v>
      </c>
    </row>
    <row r="261" spans="1:7" ht="15.75">
      <c r="A261" s="171"/>
      <c r="B261" s="126" t="s">
        <v>223</v>
      </c>
      <c r="C261" s="76" t="s">
        <v>132</v>
      </c>
      <c r="D261" s="82" t="s">
        <v>156</v>
      </c>
      <c r="E261" s="65">
        <v>2880</v>
      </c>
      <c r="F261" s="171"/>
      <c r="G261" s="59">
        <f t="shared" si="5"/>
        <v>2880</v>
      </c>
    </row>
    <row r="262" spans="1:7" ht="15.75">
      <c r="A262" s="171"/>
      <c r="B262" s="80" t="s">
        <v>441</v>
      </c>
      <c r="C262" s="76" t="s">
        <v>127</v>
      </c>
      <c r="D262" s="82" t="s">
        <v>144</v>
      </c>
      <c r="E262" s="65">
        <v>2583.5300000000002</v>
      </c>
      <c r="F262" s="171"/>
      <c r="G262" s="59">
        <f>E262+F262</f>
        <v>2583.5300000000002</v>
      </c>
    </row>
    <row r="263" spans="1:7" ht="25.5">
      <c r="A263" s="171"/>
      <c r="B263" s="80" t="s">
        <v>230</v>
      </c>
      <c r="C263" s="76" t="s">
        <v>127</v>
      </c>
      <c r="D263" s="82" t="s">
        <v>144</v>
      </c>
      <c r="E263" s="133">
        <v>7.2</v>
      </c>
      <c r="F263" s="171"/>
      <c r="G263" s="59">
        <f>E263+F263</f>
        <v>7.2</v>
      </c>
    </row>
    <row r="264" spans="1:7" ht="25.5">
      <c r="A264" s="171"/>
      <c r="B264" s="80" t="s">
        <v>231</v>
      </c>
      <c r="C264" s="76" t="s">
        <v>127</v>
      </c>
      <c r="D264" s="82" t="s">
        <v>144</v>
      </c>
      <c r="E264" s="133">
        <v>132</v>
      </c>
      <c r="F264" s="171"/>
      <c r="G264" s="59">
        <f>E264+F264</f>
        <v>132</v>
      </c>
    </row>
    <row r="265" spans="1:7" ht="48" customHeight="1">
      <c r="A265" s="171"/>
      <c r="B265" s="126" t="s">
        <v>506</v>
      </c>
      <c r="C265" s="156" t="s">
        <v>127</v>
      </c>
      <c r="D265" s="125" t="s">
        <v>144</v>
      </c>
      <c r="E265" s="133">
        <v>15.59</v>
      </c>
      <c r="F265" s="171"/>
      <c r="G265" s="59">
        <f>E265+F265</f>
        <v>15.59</v>
      </c>
    </row>
    <row r="266" spans="1:7" ht="15.75">
      <c r="A266" s="171">
        <v>4</v>
      </c>
      <c r="B266" s="168" t="s">
        <v>37</v>
      </c>
      <c r="C266" s="76"/>
      <c r="D266" s="82"/>
      <c r="E266" s="171"/>
      <c r="F266" s="171"/>
      <c r="G266" s="171"/>
    </row>
    <row r="267" spans="1:7" ht="25.5">
      <c r="A267" s="171"/>
      <c r="B267" s="80" t="s">
        <v>232</v>
      </c>
      <c r="C267" s="76" t="s">
        <v>160</v>
      </c>
      <c r="D267" s="82" t="s">
        <v>144</v>
      </c>
      <c r="E267" s="59">
        <v>-15.82</v>
      </c>
      <c r="F267" s="171"/>
      <c r="G267" s="59">
        <f>E267+F267</f>
        <v>-15.82</v>
      </c>
    </row>
    <row r="268" spans="1:7" ht="30" customHeight="1">
      <c r="A268" s="171"/>
      <c r="B268" s="221" t="s">
        <v>833</v>
      </c>
      <c r="C268" s="214"/>
      <c r="D268" s="171"/>
      <c r="E268" s="171"/>
      <c r="F268" s="171"/>
      <c r="G268" s="171"/>
    </row>
    <row r="269" spans="1:7" ht="15.75">
      <c r="A269" s="171">
        <v>1</v>
      </c>
      <c r="B269" s="168" t="s">
        <v>34</v>
      </c>
      <c r="C269" s="52"/>
      <c r="D269" s="171"/>
      <c r="E269" s="171"/>
      <c r="F269" s="171"/>
      <c r="G269" s="171"/>
    </row>
    <row r="270" spans="1:7" ht="38.25">
      <c r="A270" s="171"/>
      <c r="B270" s="80" t="s">
        <v>847</v>
      </c>
      <c r="C270" s="76" t="s">
        <v>132</v>
      </c>
      <c r="D270" s="82" t="s">
        <v>843</v>
      </c>
      <c r="E270" s="59">
        <f>150000</f>
        <v>150000</v>
      </c>
      <c r="F270" s="171"/>
      <c r="G270" s="59">
        <f>E270+F270</f>
        <v>150000</v>
      </c>
    </row>
    <row r="271" spans="1:7" ht="15.75">
      <c r="A271" s="171">
        <v>2</v>
      </c>
      <c r="B271" s="168" t="s">
        <v>35</v>
      </c>
      <c r="C271" s="76"/>
      <c r="D271" s="82"/>
      <c r="E271" s="171"/>
      <c r="F271" s="171"/>
      <c r="G271" s="171"/>
    </row>
    <row r="272" spans="1:7" ht="38.25">
      <c r="A272" s="171"/>
      <c r="B272" s="157" t="s">
        <v>848</v>
      </c>
      <c r="C272" s="76" t="s">
        <v>129</v>
      </c>
      <c r="D272" s="82" t="s">
        <v>148</v>
      </c>
      <c r="E272" s="171">
        <v>1</v>
      </c>
      <c r="F272" s="171"/>
      <c r="G272" s="171">
        <f>E272</f>
        <v>1</v>
      </c>
    </row>
    <row r="273" spans="1:7" ht="15.75">
      <c r="A273" s="171">
        <v>3</v>
      </c>
      <c r="B273" s="168" t="s">
        <v>36</v>
      </c>
      <c r="C273" s="76"/>
      <c r="D273" s="82"/>
      <c r="E273" s="171"/>
      <c r="F273" s="171"/>
      <c r="G273" s="171"/>
    </row>
    <row r="274" spans="1:7" ht="25.5">
      <c r="A274" s="171"/>
      <c r="B274" s="157" t="s">
        <v>849</v>
      </c>
      <c r="C274" s="76"/>
      <c r="D274" s="82" t="s">
        <v>844</v>
      </c>
      <c r="E274" s="59">
        <f>E270/E272</f>
        <v>150000</v>
      </c>
      <c r="F274" s="171"/>
      <c r="G274" s="59">
        <f>E274</f>
        <v>150000</v>
      </c>
    </row>
    <row r="275" spans="1:7" ht="15.75">
      <c r="A275" s="171">
        <v>4</v>
      </c>
      <c r="B275" s="168" t="s">
        <v>37</v>
      </c>
      <c r="C275" s="76"/>
      <c r="D275" s="82"/>
      <c r="E275" s="171"/>
      <c r="F275" s="171"/>
      <c r="G275" s="171"/>
    </row>
    <row r="276" spans="1:7" ht="25.5">
      <c r="A276" s="171"/>
      <c r="B276" s="80" t="s">
        <v>850</v>
      </c>
      <c r="C276" s="76" t="s">
        <v>160</v>
      </c>
      <c r="D276" s="82" t="s">
        <v>144</v>
      </c>
      <c r="E276" s="59">
        <v>100</v>
      </c>
      <c r="F276" s="171"/>
      <c r="G276" s="59">
        <f>E276+F276</f>
        <v>100</v>
      </c>
    </row>
    <row r="277" spans="1:7" ht="24" customHeight="1">
      <c r="A277" s="173">
        <v>6</v>
      </c>
      <c r="B277" s="209" t="s">
        <v>369</v>
      </c>
      <c r="C277" s="210"/>
      <c r="D277" s="82"/>
      <c r="E277" s="171"/>
      <c r="F277" s="171"/>
      <c r="G277" s="59"/>
    </row>
    <row r="278" spans="1:7" ht="23.25" customHeight="1">
      <c r="A278" s="171"/>
      <c r="B278" s="221" t="s">
        <v>835</v>
      </c>
      <c r="C278" s="214"/>
      <c r="D278" s="171"/>
      <c r="E278" s="171"/>
      <c r="F278" s="171"/>
      <c r="G278" s="171"/>
    </row>
    <row r="279" spans="1:7" ht="15.75">
      <c r="A279" s="171">
        <v>1</v>
      </c>
      <c r="B279" s="168" t="s">
        <v>34</v>
      </c>
      <c r="C279" s="52"/>
      <c r="D279" s="171"/>
      <c r="E279" s="171"/>
      <c r="F279" s="171"/>
      <c r="G279" s="171"/>
    </row>
    <row r="280" spans="1:7" ht="25.5">
      <c r="A280" s="171"/>
      <c r="B280" s="80" t="s">
        <v>834</v>
      </c>
      <c r="C280" s="76" t="s">
        <v>132</v>
      </c>
      <c r="D280" s="82" t="s">
        <v>128</v>
      </c>
      <c r="E280" s="59">
        <f>1500000</f>
        <v>1500000</v>
      </c>
      <c r="F280" s="171"/>
      <c r="G280" s="59">
        <f>E280+F280</f>
        <v>1500000</v>
      </c>
    </row>
    <row r="281" spans="1:7" ht="15.75">
      <c r="A281" s="171">
        <v>2</v>
      </c>
      <c r="B281" s="168" t="s">
        <v>35</v>
      </c>
      <c r="C281" s="76"/>
      <c r="D281" s="82"/>
      <c r="E281" s="171"/>
      <c r="F281" s="171"/>
      <c r="G281" s="171"/>
    </row>
    <row r="282" spans="1:7" ht="25.5">
      <c r="A282" s="171"/>
      <c r="B282" s="80" t="s">
        <v>233</v>
      </c>
      <c r="C282" s="76" t="s">
        <v>171</v>
      </c>
      <c r="D282" s="82" t="s">
        <v>234</v>
      </c>
      <c r="E282" s="61">
        <v>1826100</v>
      </c>
      <c r="F282" s="171"/>
      <c r="G282" s="62">
        <f>E282+F282</f>
        <v>1826100</v>
      </c>
    </row>
    <row r="283" spans="1:7" ht="25.5">
      <c r="A283" s="171"/>
      <c r="B283" s="80" t="s">
        <v>235</v>
      </c>
      <c r="C283" s="76" t="s">
        <v>129</v>
      </c>
      <c r="D283" s="82" t="s">
        <v>234</v>
      </c>
      <c r="E283" s="72">
        <v>120</v>
      </c>
      <c r="F283" s="171"/>
      <c r="G283" s="62">
        <f>E283+F283</f>
        <v>120</v>
      </c>
    </row>
    <row r="284" spans="1:7" ht="38.25">
      <c r="A284" s="171"/>
      <c r="B284" s="80" t="s">
        <v>236</v>
      </c>
      <c r="C284" s="76" t="s">
        <v>442</v>
      </c>
      <c r="D284" s="82" t="s">
        <v>237</v>
      </c>
      <c r="E284" s="61"/>
      <c r="F284" s="171"/>
      <c r="G284" s="171"/>
    </row>
    <row r="285" spans="1:7" ht="15.75">
      <c r="A285" s="171"/>
      <c r="B285" s="80" t="s">
        <v>238</v>
      </c>
      <c r="C285" s="76" t="s">
        <v>442</v>
      </c>
      <c r="D285" s="82"/>
      <c r="E285" s="72">
        <v>1</v>
      </c>
      <c r="F285" s="171"/>
      <c r="G285" s="62">
        <f>E285+F285</f>
        <v>1</v>
      </c>
    </row>
    <row r="286" spans="1:7" ht="15.75">
      <c r="A286" s="171"/>
      <c r="B286" s="80" t="s">
        <v>239</v>
      </c>
      <c r="C286" s="76" t="s">
        <v>442</v>
      </c>
      <c r="D286" s="82"/>
      <c r="E286" s="72">
        <v>1</v>
      </c>
      <c r="F286" s="171"/>
      <c r="G286" s="62">
        <f>E286+F286</f>
        <v>1</v>
      </c>
    </row>
    <row r="287" spans="1:7" ht="15.75">
      <c r="A287" s="171"/>
      <c r="B287" s="80" t="s">
        <v>240</v>
      </c>
      <c r="C287" s="76" t="s">
        <v>442</v>
      </c>
      <c r="D287" s="82"/>
      <c r="E287" s="72">
        <v>1</v>
      </c>
      <c r="F287" s="171"/>
      <c r="G287" s="62">
        <f>E287+F287</f>
        <v>1</v>
      </c>
    </row>
    <row r="288" spans="1:7" ht="25.5">
      <c r="A288" s="171"/>
      <c r="B288" s="80" t="s">
        <v>241</v>
      </c>
      <c r="C288" s="76" t="s">
        <v>171</v>
      </c>
      <c r="D288" s="82" t="s">
        <v>242</v>
      </c>
      <c r="E288" s="61">
        <v>176200</v>
      </c>
      <c r="F288" s="171"/>
      <c r="G288" s="62">
        <f>E288+F288</f>
        <v>176200</v>
      </c>
    </row>
    <row r="289" spans="1:8" ht="15.75">
      <c r="A289" s="171">
        <v>3</v>
      </c>
      <c r="B289" s="168" t="s">
        <v>36</v>
      </c>
      <c r="C289" s="76"/>
      <c r="D289" s="82"/>
      <c r="E289" s="171"/>
      <c r="F289" s="171"/>
      <c r="G289" s="171"/>
    </row>
    <row r="290" spans="1:8" ht="51">
      <c r="A290" s="171"/>
      <c r="B290" s="80" t="s">
        <v>243</v>
      </c>
      <c r="C290" s="76" t="s">
        <v>132</v>
      </c>
      <c r="D290" s="82" t="s">
        <v>156</v>
      </c>
      <c r="E290" s="79">
        <v>168</v>
      </c>
      <c r="F290" s="171"/>
      <c r="G290" s="59">
        <f t="shared" ref="G290:G303" si="7">E290+F290</f>
        <v>168</v>
      </c>
    </row>
    <row r="291" spans="1:8" ht="38.25">
      <c r="A291" s="171"/>
      <c r="B291" s="80" t="s">
        <v>244</v>
      </c>
      <c r="C291" s="76" t="s">
        <v>132</v>
      </c>
      <c r="D291" s="82" t="s">
        <v>156</v>
      </c>
      <c r="E291" s="79">
        <v>92.4</v>
      </c>
      <c r="F291" s="171"/>
      <c r="G291" s="59">
        <f t="shared" si="7"/>
        <v>92.4</v>
      </c>
    </row>
    <row r="292" spans="1:8" ht="38.25">
      <c r="A292" s="171"/>
      <c r="B292" s="80" t="s">
        <v>245</v>
      </c>
      <c r="C292" s="76" t="s">
        <v>132</v>
      </c>
      <c r="D292" s="82" t="s">
        <v>156</v>
      </c>
      <c r="E292" s="79">
        <v>162</v>
      </c>
      <c r="F292" s="171"/>
      <c r="G292" s="59">
        <f t="shared" si="7"/>
        <v>162</v>
      </c>
    </row>
    <row r="293" spans="1:8" ht="51">
      <c r="A293" s="171"/>
      <c r="B293" s="80" t="s">
        <v>246</v>
      </c>
      <c r="C293" s="76" t="s">
        <v>132</v>
      </c>
      <c r="D293" s="82" t="s">
        <v>156</v>
      </c>
      <c r="E293" s="79">
        <v>120</v>
      </c>
      <c r="F293" s="171"/>
      <c r="G293" s="59">
        <f t="shared" si="7"/>
        <v>120</v>
      </c>
    </row>
    <row r="294" spans="1:8" ht="38.25">
      <c r="A294" s="171"/>
      <c r="B294" s="80" t="s">
        <v>247</v>
      </c>
      <c r="C294" s="76" t="s">
        <v>132</v>
      </c>
      <c r="D294" s="82" t="s">
        <v>156</v>
      </c>
      <c r="E294" s="135">
        <v>270</v>
      </c>
      <c r="F294" s="171"/>
      <c r="G294" s="59">
        <f t="shared" si="7"/>
        <v>270</v>
      </c>
    </row>
    <row r="295" spans="1:8" ht="51">
      <c r="A295" s="171"/>
      <c r="B295" s="80" t="s">
        <v>248</v>
      </c>
      <c r="C295" s="76" t="s">
        <v>132</v>
      </c>
      <c r="D295" s="82" t="s">
        <v>156</v>
      </c>
      <c r="E295" s="79">
        <v>254</v>
      </c>
      <c r="F295" s="171"/>
      <c r="G295" s="59">
        <f t="shared" si="7"/>
        <v>254</v>
      </c>
    </row>
    <row r="296" spans="1:8" ht="15.75">
      <c r="A296" s="171"/>
      <c r="B296" s="80" t="s">
        <v>443</v>
      </c>
      <c r="C296" s="76"/>
      <c r="D296" s="82"/>
      <c r="E296" s="79"/>
      <c r="F296" s="171"/>
      <c r="G296" s="59"/>
    </row>
    <row r="297" spans="1:8" ht="15.75">
      <c r="A297" s="171"/>
      <c r="B297" s="80" t="s">
        <v>249</v>
      </c>
      <c r="C297" s="76" t="s">
        <v>132</v>
      </c>
      <c r="D297" s="82" t="s">
        <v>156</v>
      </c>
      <c r="E297" s="79">
        <v>112800</v>
      </c>
      <c r="F297" s="171"/>
      <c r="G297" s="59">
        <f t="shared" si="7"/>
        <v>112800</v>
      </c>
      <c r="H297" s="36">
        <f>G297+G298+G299</f>
        <v>418680</v>
      </c>
    </row>
    <row r="298" spans="1:8" ht="15.75">
      <c r="A298" s="171"/>
      <c r="B298" s="80" t="s">
        <v>250</v>
      </c>
      <c r="C298" s="76" t="s">
        <v>132</v>
      </c>
      <c r="D298" s="82" t="s">
        <v>156</v>
      </c>
      <c r="E298" s="79">
        <v>137280</v>
      </c>
      <c r="F298" s="171"/>
      <c r="G298" s="59">
        <f t="shared" si="7"/>
        <v>137280</v>
      </c>
    </row>
    <row r="299" spans="1:8" ht="15.75">
      <c r="A299" s="171"/>
      <c r="B299" s="80" t="s">
        <v>251</v>
      </c>
      <c r="C299" s="76" t="s">
        <v>132</v>
      </c>
      <c r="D299" s="82" t="s">
        <v>156</v>
      </c>
      <c r="E299" s="79">
        <v>168600</v>
      </c>
      <c r="F299" s="171"/>
      <c r="G299" s="59">
        <f t="shared" si="7"/>
        <v>168600</v>
      </c>
    </row>
    <row r="300" spans="1:8" ht="25.5">
      <c r="A300" s="171"/>
      <c r="B300" s="80" t="s">
        <v>444</v>
      </c>
      <c r="C300" s="76" t="s">
        <v>132</v>
      </c>
      <c r="D300" s="82" t="s">
        <v>156</v>
      </c>
      <c r="E300" s="79">
        <v>2000</v>
      </c>
      <c r="F300" s="171"/>
      <c r="G300" s="59">
        <f t="shared" si="7"/>
        <v>2000</v>
      </c>
    </row>
    <row r="301" spans="1:8" ht="25.5">
      <c r="A301" s="171"/>
      <c r="B301" s="80" t="s">
        <v>252</v>
      </c>
      <c r="C301" s="76" t="s">
        <v>132</v>
      </c>
      <c r="D301" s="82" t="s">
        <v>156</v>
      </c>
      <c r="E301" s="79">
        <v>120</v>
      </c>
      <c r="F301" s="171"/>
      <c r="G301" s="59">
        <f t="shared" si="7"/>
        <v>120</v>
      </c>
    </row>
    <row r="302" spans="1:8" ht="15.75">
      <c r="A302" s="171"/>
      <c r="B302" s="80" t="s">
        <v>445</v>
      </c>
      <c r="C302" s="76" t="s">
        <v>132</v>
      </c>
      <c r="D302" s="82" t="s">
        <v>156</v>
      </c>
      <c r="E302" s="79">
        <v>60</v>
      </c>
      <c r="F302" s="171"/>
      <c r="G302" s="59">
        <f t="shared" si="7"/>
        <v>60</v>
      </c>
    </row>
    <row r="303" spans="1:8" ht="25.5">
      <c r="A303" s="171"/>
      <c r="B303" s="80" t="s">
        <v>253</v>
      </c>
      <c r="C303" s="76" t="s">
        <v>132</v>
      </c>
      <c r="D303" s="82" t="s">
        <v>156</v>
      </c>
      <c r="E303" s="72">
        <v>144</v>
      </c>
      <c r="F303" s="171"/>
      <c r="G303" s="59">
        <f t="shared" si="7"/>
        <v>144</v>
      </c>
    </row>
    <row r="304" spans="1:8" ht="15.75">
      <c r="A304" s="171">
        <v>4</v>
      </c>
      <c r="B304" s="168" t="s">
        <v>37</v>
      </c>
      <c r="C304" s="76"/>
      <c r="D304" s="82"/>
      <c r="E304" s="72"/>
      <c r="F304" s="171"/>
      <c r="G304" s="171"/>
    </row>
    <row r="305" spans="1:7" ht="25.5">
      <c r="A305" s="171"/>
      <c r="B305" s="80" t="s">
        <v>446</v>
      </c>
      <c r="C305" s="76" t="s">
        <v>160</v>
      </c>
      <c r="D305" s="82" t="s">
        <v>254</v>
      </c>
      <c r="E305" s="72">
        <v>100</v>
      </c>
      <c r="F305" s="171"/>
      <c r="G305" s="62">
        <f>E305+F305</f>
        <v>100</v>
      </c>
    </row>
    <row r="306" spans="1:7" ht="31.5" customHeight="1">
      <c r="A306" s="171"/>
      <c r="B306" s="177" t="s">
        <v>377</v>
      </c>
      <c r="C306" s="52"/>
      <c r="D306" s="171"/>
      <c r="E306" s="123">
        <f>E309+E310+E311</f>
        <v>5090000</v>
      </c>
      <c r="F306" s="173"/>
      <c r="G306" s="66">
        <f>E306+F306</f>
        <v>5090000</v>
      </c>
    </row>
    <row r="307" spans="1:7" ht="15.75">
      <c r="A307" s="171">
        <v>1</v>
      </c>
      <c r="B307" s="168" t="s">
        <v>34</v>
      </c>
      <c r="C307" s="52"/>
      <c r="D307" s="171"/>
      <c r="E307" s="171"/>
      <c r="F307" s="171"/>
      <c r="G307" s="171"/>
    </row>
    <row r="308" spans="1:7" ht="24">
      <c r="A308" s="171"/>
      <c r="B308" s="80" t="s">
        <v>255</v>
      </c>
      <c r="C308" s="76" t="s">
        <v>129</v>
      </c>
      <c r="D308" s="82" t="s">
        <v>138</v>
      </c>
      <c r="E308" s="136">
        <v>4628</v>
      </c>
      <c r="F308" s="171"/>
      <c r="G308" s="62">
        <f>E308+F308</f>
        <v>4628</v>
      </c>
    </row>
    <row r="309" spans="1:7" ht="20.25" customHeight="1">
      <c r="A309" s="171"/>
      <c r="B309" s="80" t="s">
        <v>1072</v>
      </c>
      <c r="C309" s="76" t="s">
        <v>132</v>
      </c>
      <c r="D309" s="82" t="s">
        <v>148</v>
      </c>
      <c r="E309" s="179">
        <f>5000000-49000</f>
        <v>4951000</v>
      </c>
      <c r="F309" s="171"/>
      <c r="G309" s="62">
        <f>E309+F309</f>
        <v>4951000</v>
      </c>
    </row>
    <row r="310" spans="1:7" ht="24.75" customHeight="1">
      <c r="A310" s="171"/>
      <c r="B310" s="80" t="s">
        <v>1073</v>
      </c>
      <c r="C310" s="76" t="s">
        <v>132</v>
      </c>
      <c r="D310" s="82" t="s">
        <v>148</v>
      </c>
      <c r="E310" s="61">
        <f>90000</f>
        <v>90000</v>
      </c>
      <c r="F310" s="171"/>
      <c r="G310" s="62">
        <f>E310+F310</f>
        <v>90000</v>
      </c>
    </row>
    <row r="311" spans="1:7" ht="37.5" customHeight="1">
      <c r="A311" s="178"/>
      <c r="B311" s="181" t="s">
        <v>1075</v>
      </c>
      <c r="C311" s="182" t="s">
        <v>132</v>
      </c>
      <c r="D311" s="183" t="s">
        <v>148</v>
      </c>
      <c r="E311" s="179">
        <f>49000</f>
        <v>49000</v>
      </c>
      <c r="F311" s="184"/>
      <c r="G311" s="185">
        <f>E311</f>
        <v>49000</v>
      </c>
    </row>
    <row r="312" spans="1:7" ht="15.75">
      <c r="A312" s="171">
        <v>2</v>
      </c>
      <c r="B312" s="168" t="s">
        <v>35</v>
      </c>
      <c r="C312" s="52"/>
      <c r="D312" s="171"/>
      <c r="E312" s="171"/>
      <c r="F312" s="171"/>
      <c r="G312" s="171"/>
    </row>
    <row r="313" spans="1:7" ht="25.5">
      <c r="A313" s="171"/>
      <c r="B313" s="126" t="s">
        <v>256</v>
      </c>
      <c r="C313" s="76" t="s">
        <v>129</v>
      </c>
      <c r="D313" s="82" t="s">
        <v>128</v>
      </c>
      <c r="E313" s="133">
        <v>41</v>
      </c>
      <c r="F313" s="171"/>
      <c r="G313" s="59">
        <f>E313+F313</f>
        <v>41</v>
      </c>
    </row>
    <row r="314" spans="1:7" ht="24">
      <c r="A314" s="171"/>
      <c r="B314" s="85" t="s">
        <v>257</v>
      </c>
      <c r="C314" s="74" t="s">
        <v>258</v>
      </c>
      <c r="D314" s="73" t="s">
        <v>138</v>
      </c>
      <c r="E314" s="137">
        <v>140</v>
      </c>
      <c r="F314" s="171"/>
      <c r="G314" s="78">
        <f>E314+F314</f>
        <v>140</v>
      </c>
    </row>
    <row r="315" spans="1:7" ht="24.75" customHeight="1">
      <c r="A315" s="178"/>
      <c r="B315" s="186" t="s">
        <v>1070</v>
      </c>
      <c r="C315" s="187" t="s">
        <v>175</v>
      </c>
      <c r="D315" s="183" t="s">
        <v>128</v>
      </c>
      <c r="E315" s="188">
        <v>125</v>
      </c>
      <c r="F315" s="184"/>
      <c r="G315" s="189">
        <f>E315</f>
        <v>125</v>
      </c>
    </row>
    <row r="316" spans="1:7" ht="15.75">
      <c r="A316" s="171">
        <v>3</v>
      </c>
      <c r="B316" s="168" t="s">
        <v>36</v>
      </c>
      <c r="C316" s="52"/>
      <c r="D316" s="171"/>
      <c r="E316" s="171"/>
      <c r="F316" s="171"/>
      <c r="G316" s="171"/>
    </row>
    <row r="317" spans="1:7" ht="25.5">
      <c r="A317" s="171"/>
      <c r="B317" s="80" t="s">
        <v>259</v>
      </c>
      <c r="C317" s="76" t="s">
        <v>132</v>
      </c>
      <c r="D317" s="82" t="s">
        <v>156</v>
      </c>
      <c r="E317" s="58">
        <v>2195.12</v>
      </c>
      <c r="F317" s="171"/>
      <c r="G317" s="59">
        <f>E317+F317</f>
        <v>2195.12</v>
      </c>
    </row>
    <row r="318" spans="1:7" ht="25.5">
      <c r="A318" s="171"/>
      <c r="B318" s="85" t="s">
        <v>260</v>
      </c>
      <c r="C318" s="74" t="s">
        <v>132</v>
      </c>
      <c r="D318" s="82" t="s">
        <v>156</v>
      </c>
      <c r="E318" s="190">
        <f>E309/E314</f>
        <v>35364.285714285717</v>
      </c>
      <c r="F318" s="171"/>
      <c r="G318" s="191">
        <f>E318+F318</f>
        <v>35364.285714285717</v>
      </c>
    </row>
    <row r="319" spans="1:7" ht="21.75" customHeight="1">
      <c r="A319" s="178"/>
      <c r="B319" s="186" t="s">
        <v>1071</v>
      </c>
      <c r="C319" s="187" t="s">
        <v>132</v>
      </c>
      <c r="D319" s="183" t="s">
        <v>156</v>
      </c>
      <c r="E319" s="190">
        <f>E311/E315</f>
        <v>392</v>
      </c>
      <c r="F319" s="184"/>
      <c r="G319" s="191">
        <f>E319</f>
        <v>392</v>
      </c>
    </row>
    <row r="320" spans="1:7" ht="15.75">
      <c r="A320" s="171">
        <v>4</v>
      </c>
      <c r="B320" s="168" t="s">
        <v>37</v>
      </c>
      <c r="C320" s="52"/>
      <c r="D320" s="171"/>
      <c r="E320" s="171"/>
      <c r="F320" s="171"/>
      <c r="G320" s="171"/>
    </row>
    <row r="321" spans="1:7" ht="15.75">
      <c r="A321" s="171"/>
      <c r="B321" s="80" t="s">
        <v>261</v>
      </c>
      <c r="C321" s="76" t="s">
        <v>160</v>
      </c>
      <c r="D321" s="82" t="s">
        <v>144</v>
      </c>
      <c r="E321" s="171">
        <v>100</v>
      </c>
      <c r="F321" s="171"/>
      <c r="G321" s="59">
        <f>E321+F321</f>
        <v>100</v>
      </c>
    </row>
    <row r="322" spans="1:7" ht="34.5" customHeight="1">
      <c r="A322" s="171"/>
      <c r="B322" s="209" t="s">
        <v>904</v>
      </c>
      <c r="C322" s="210"/>
      <c r="D322" s="82"/>
      <c r="E322" s="171"/>
      <c r="F322" s="171"/>
      <c r="G322" s="59"/>
    </row>
    <row r="323" spans="1:7" ht="15.75">
      <c r="A323" s="171">
        <v>1</v>
      </c>
      <c r="B323" s="155" t="s">
        <v>34</v>
      </c>
      <c r="C323" s="76"/>
      <c r="D323" s="82"/>
      <c r="E323" s="171"/>
      <c r="F323" s="171"/>
      <c r="G323" s="59"/>
    </row>
    <row r="324" spans="1:7" ht="38.25">
      <c r="A324" s="171"/>
      <c r="B324" s="85" t="s">
        <v>900</v>
      </c>
      <c r="C324" s="76" t="s">
        <v>132</v>
      </c>
      <c r="D324" s="82" t="s">
        <v>148</v>
      </c>
      <c r="E324" s="62">
        <v>27758</v>
      </c>
      <c r="F324" s="171"/>
      <c r="G324" s="59">
        <f>E324+F324</f>
        <v>27758</v>
      </c>
    </row>
    <row r="325" spans="1:7" ht="15.75">
      <c r="A325" s="171">
        <v>2</v>
      </c>
      <c r="B325" s="155" t="s">
        <v>35</v>
      </c>
      <c r="C325" s="76"/>
      <c r="D325" s="82"/>
      <c r="E325" s="171"/>
      <c r="F325" s="171"/>
      <c r="G325" s="59"/>
    </row>
    <row r="326" spans="1:7" ht="38.25">
      <c r="A326" s="171"/>
      <c r="B326" s="106" t="s">
        <v>901</v>
      </c>
      <c r="C326" s="74" t="s">
        <v>175</v>
      </c>
      <c r="D326" s="73" t="s">
        <v>138</v>
      </c>
      <c r="E326" s="83">
        <f>E324/E328</f>
        <v>185.05333333333334</v>
      </c>
      <c r="F326" s="171"/>
      <c r="G326" s="59">
        <f>E326+F326</f>
        <v>185.05333333333334</v>
      </c>
    </row>
    <row r="327" spans="1:7" ht="15.75">
      <c r="A327" s="171">
        <v>3</v>
      </c>
      <c r="B327" s="155" t="s">
        <v>36</v>
      </c>
      <c r="C327" s="76"/>
      <c r="D327" s="82"/>
      <c r="E327" s="171"/>
      <c r="F327" s="171"/>
      <c r="G327" s="59"/>
    </row>
    <row r="328" spans="1:7" ht="38.25">
      <c r="A328" s="171"/>
      <c r="B328" s="85" t="s">
        <v>902</v>
      </c>
      <c r="C328" s="76" t="s">
        <v>132</v>
      </c>
      <c r="D328" s="82" t="s">
        <v>156</v>
      </c>
      <c r="E328" s="171">
        <v>150</v>
      </c>
      <c r="F328" s="171"/>
      <c r="G328" s="59">
        <f>E328+F328</f>
        <v>150</v>
      </c>
    </row>
    <row r="329" spans="1:7" ht="15.75">
      <c r="A329" s="171">
        <v>4</v>
      </c>
      <c r="B329" s="155" t="s">
        <v>37</v>
      </c>
      <c r="C329" s="76"/>
      <c r="D329" s="82"/>
      <c r="E329" s="171"/>
      <c r="F329" s="171"/>
      <c r="G329" s="59"/>
    </row>
    <row r="330" spans="1:7" ht="38.25">
      <c r="A330" s="171"/>
      <c r="B330" s="80" t="s">
        <v>903</v>
      </c>
      <c r="C330" s="76" t="s">
        <v>160</v>
      </c>
      <c r="D330" s="82" t="s">
        <v>144</v>
      </c>
      <c r="E330" s="171">
        <v>100</v>
      </c>
      <c r="F330" s="171"/>
      <c r="G330" s="59">
        <f>E330+F330</f>
        <v>100</v>
      </c>
    </row>
    <row r="331" spans="1:7" ht="15.75">
      <c r="A331" s="171"/>
      <c r="B331" s="168" t="s">
        <v>905</v>
      </c>
      <c r="C331" s="52"/>
      <c r="D331" s="171"/>
      <c r="E331" s="123">
        <v>4140000</v>
      </c>
      <c r="F331" s="173"/>
      <c r="G331" s="66">
        <f>E331+F331</f>
        <v>4140000</v>
      </c>
    </row>
    <row r="332" spans="1:7" ht="15.75">
      <c r="A332" s="171">
        <v>1</v>
      </c>
      <c r="B332" s="168" t="s">
        <v>34</v>
      </c>
      <c r="C332" s="52"/>
      <c r="D332" s="171"/>
      <c r="E332" s="171"/>
      <c r="F332" s="171"/>
      <c r="G332" s="171"/>
    </row>
    <row r="333" spans="1:7" ht="25.5">
      <c r="A333" s="171"/>
      <c r="B333" s="80" t="s">
        <v>836</v>
      </c>
      <c r="C333" s="76" t="s">
        <v>132</v>
      </c>
      <c r="D333" s="82" t="s">
        <v>148</v>
      </c>
      <c r="E333" s="61">
        <f>4140000</f>
        <v>4140000</v>
      </c>
      <c r="F333" s="171"/>
      <c r="G333" s="62">
        <f>E333+F333</f>
        <v>4140000</v>
      </c>
    </row>
    <row r="334" spans="1:7" ht="15.75">
      <c r="A334" s="171">
        <v>2</v>
      </c>
      <c r="B334" s="168" t="s">
        <v>35</v>
      </c>
      <c r="C334" s="52"/>
      <c r="D334" s="171"/>
      <c r="E334" s="171"/>
      <c r="F334" s="171"/>
      <c r="G334" s="171"/>
    </row>
    <row r="335" spans="1:7" ht="25.5">
      <c r="A335" s="171"/>
      <c r="B335" s="126" t="s">
        <v>837</v>
      </c>
      <c r="C335" s="76" t="s">
        <v>838</v>
      </c>
      <c r="D335" s="82" t="s">
        <v>128</v>
      </c>
      <c r="E335" s="133">
        <f>1200000</f>
        <v>1200000</v>
      </c>
      <c r="F335" s="171"/>
      <c r="G335" s="59">
        <f>E335+F335</f>
        <v>1200000</v>
      </c>
    </row>
    <row r="336" spans="1:7" ht="15.75">
      <c r="A336" s="171">
        <v>3</v>
      </c>
      <c r="B336" s="168" t="s">
        <v>36</v>
      </c>
      <c r="C336" s="52"/>
      <c r="D336" s="171"/>
      <c r="E336" s="171"/>
      <c r="F336" s="171"/>
      <c r="G336" s="171"/>
    </row>
    <row r="337" spans="1:10" ht="25.5">
      <c r="A337" s="171"/>
      <c r="B337" s="80" t="s">
        <v>840</v>
      </c>
      <c r="C337" s="76" t="s">
        <v>132</v>
      </c>
      <c r="D337" s="82" t="s">
        <v>839</v>
      </c>
      <c r="E337" s="58">
        <v>1.85</v>
      </c>
      <c r="F337" s="171"/>
      <c r="G337" s="59">
        <f>E337+F337</f>
        <v>1.85</v>
      </c>
    </row>
    <row r="338" spans="1:10" ht="25.5">
      <c r="A338" s="171"/>
      <c r="B338" s="80" t="s">
        <v>841</v>
      </c>
      <c r="C338" s="74" t="s">
        <v>132</v>
      </c>
      <c r="D338" s="82" t="s">
        <v>839</v>
      </c>
      <c r="E338" s="138">
        <v>1.6</v>
      </c>
      <c r="F338" s="171"/>
      <c r="G338" s="59">
        <f>E338+F338</f>
        <v>1.6</v>
      </c>
    </row>
    <row r="339" spans="1:10" ht="15.75">
      <c r="A339" s="171">
        <v>4</v>
      </c>
      <c r="B339" s="168" t="s">
        <v>37</v>
      </c>
      <c r="C339" s="52"/>
      <c r="D339" s="171"/>
      <c r="E339" s="171"/>
      <c r="F339" s="171"/>
      <c r="G339" s="171"/>
    </row>
    <row r="340" spans="1:10" ht="29.25" customHeight="1">
      <c r="A340" s="171"/>
      <c r="B340" s="80" t="s">
        <v>842</v>
      </c>
      <c r="C340" s="76" t="s">
        <v>160</v>
      </c>
      <c r="D340" s="82" t="s">
        <v>144</v>
      </c>
      <c r="E340" s="171">
        <v>100</v>
      </c>
      <c r="F340" s="171"/>
      <c r="G340" s="59">
        <f>E340+F340</f>
        <v>100</v>
      </c>
    </row>
    <row r="341" spans="1:10" ht="24.75" customHeight="1">
      <c r="A341" s="171"/>
      <c r="B341" s="209" t="s">
        <v>906</v>
      </c>
      <c r="C341" s="215"/>
      <c r="D341" s="82"/>
      <c r="E341" s="171"/>
      <c r="F341" s="171"/>
      <c r="G341" s="171"/>
    </row>
    <row r="342" spans="1:10" ht="15.75">
      <c r="A342" s="171">
        <v>1</v>
      </c>
      <c r="B342" s="168" t="s">
        <v>34</v>
      </c>
      <c r="C342" s="76"/>
      <c r="D342" s="82"/>
      <c r="E342" s="171"/>
      <c r="F342" s="171"/>
      <c r="G342" s="171"/>
    </row>
    <row r="343" spans="1:10" ht="15.75">
      <c r="A343" s="171"/>
      <c r="B343" s="80" t="s">
        <v>125</v>
      </c>
      <c r="C343" s="76" t="s">
        <v>132</v>
      </c>
      <c r="D343" s="82" t="s">
        <v>128</v>
      </c>
      <c r="E343" s="58">
        <f>850000-49500</f>
        <v>800500</v>
      </c>
      <c r="F343" s="171"/>
      <c r="G343" s="59">
        <f>E343+F343</f>
        <v>800500</v>
      </c>
      <c r="H343" s="124">
        <f>H351+H352+H353+H354+H355</f>
        <v>800500.05</v>
      </c>
    </row>
    <row r="344" spans="1:10" ht="15.75">
      <c r="A344" s="171">
        <v>2</v>
      </c>
      <c r="B344" s="168" t="s">
        <v>35</v>
      </c>
      <c r="C344" s="76"/>
      <c r="D344" s="82"/>
      <c r="E344" s="72"/>
      <c r="F344" s="171"/>
      <c r="G344" s="171"/>
    </row>
    <row r="345" spans="1:10" ht="25.5">
      <c r="A345" s="171"/>
      <c r="B345" s="80" t="s">
        <v>455</v>
      </c>
      <c r="C345" s="76" t="s">
        <v>141</v>
      </c>
      <c r="D345" s="82" t="s">
        <v>128</v>
      </c>
      <c r="E345" s="72">
        <v>24</v>
      </c>
      <c r="F345" s="171"/>
      <c r="G345" s="62">
        <f t="shared" ref="G345:G357" si="8">E345+F345</f>
        <v>24</v>
      </c>
    </row>
    <row r="346" spans="1:10" ht="25.5">
      <c r="A346" s="171"/>
      <c r="B346" s="80" t="s">
        <v>262</v>
      </c>
      <c r="C346" s="76" t="s">
        <v>141</v>
      </c>
      <c r="D346" s="82" t="s">
        <v>128</v>
      </c>
      <c r="E346" s="72">
        <v>2</v>
      </c>
      <c r="F346" s="171"/>
      <c r="G346" s="62">
        <f t="shared" si="8"/>
        <v>2</v>
      </c>
    </row>
    <row r="347" spans="1:10" ht="15.75">
      <c r="A347" s="171"/>
      <c r="B347" s="80" t="s">
        <v>263</v>
      </c>
      <c r="C347" s="76" t="s">
        <v>141</v>
      </c>
      <c r="D347" s="82" t="s">
        <v>128</v>
      </c>
      <c r="E347" s="72">
        <v>26</v>
      </c>
      <c r="F347" s="171"/>
      <c r="G347" s="62">
        <f t="shared" si="8"/>
        <v>26</v>
      </c>
    </row>
    <row r="348" spans="1:10" ht="25.5">
      <c r="A348" s="171"/>
      <c r="B348" s="80" t="s">
        <v>451</v>
      </c>
      <c r="C348" s="76" t="s">
        <v>141</v>
      </c>
      <c r="D348" s="82" t="s">
        <v>128</v>
      </c>
      <c r="E348" s="72">
        <v>23</v>
      </c>
      <c r="F348" s="171"/>
      <c r="G348" s="62">
        <f t="shared" si="8"/>
        <v>23</v>
      </c>
    </row>
    <row r="349" spans="1:10" ht="25.5">
      <c r="A349" s="171"/>
      <c r="B349" s="80" t="s">
        <v>448</v>
      </c>
      <c r="C349" s="76" t="s">
        <v>165</v>
      </c>
      <c r="D349" s="82" t="s">
        <v>128</v>
      </c>
      <c r="E349" s="72">
        <v>15</v>
      </c>
      <c r="F349" s="171"/>
      <c r="G349" s="62">
        <f t="shared" si="8"/>
        <v>15</v>
      </c>
    </row>
    <row r="350" spans="1:10" ht="15.75">
      <c r="A350" s="171">
        <v>3</v>
      </c>
      <c r="B350" s="168" t="s">
        <v>36</v>
      </c>
      <c r="C350" s="76"/>
      <c r="D350" s="82"/>
      <c r="E350" s="171"/>
      <c r="F350" s="171"/>
      <c r="G350" s="171"/>
    </row>
    <row r="351" spans="1:10" ht="25.5">
      <c r="A351" s="171"/>
      <c r="B351" s="80" t="s">
        <v>454</v>
      </c>
      <c r="C351" s="76" t="s">
        <v>132</v>
      </c>
      <c r="D351" s="82" t="s">
        <v>144</v>
      </c>
      <c r="E351" s="58">
        <v>11208.33</v>
      </c>
      <c r="F351" s="171"/>
      <c r="G351" s="78">
        <f t="shared" si="8"/>
        <v>11208.33</v>
      </c>
      <c r="H351" s="35">
        <f>E351*E345</f>
        <v>268999.92</v>
      </c>
      <c r="J351" s="35">
        <v>-19000</v>
      </c>
    </row>
    <row r="352" spans="1:10" ht="15.75">
      <c r="A352" s="171"/>
      <c r="B352" s="80" t="s">
        <v>264</v>
      </c>
      <c r="C352" s="76" t="s">
        <v>132</v>
      </c>
      <c r="D352" s="82" t="s">
        <v>144</v>
      </c>
      <c r="E352" s="58">
        <f>95200</f>
        <v>95200</v>
      </c>
      <c r="F352" s="59"/>
      <c r="G352" s="59">
        <f t="shared" si="8"/>
        <v>95200</v>
      </c>
      <c r="H352" s="35">
        <f>E352*E346</f>
        <v>190400</v>
      </c>
    </row>
    <row r="353" spans="1:10" ht="15.75">
      <c r="A353" s="171"/>
      <c r="B353" s="80" t="s">
        <v>265</v>
      </c>
      <c r="C353" s="76" t="s">
        <v>127</v>
      </c>
      <c r="D353" s="82" t="s">
        <v>144</v>
      </c>
      <c r="E353" s="58">
        <v>4423.08</v>
      </c>
      <c r="F353" s="171"/>
      <c r="G353" s="59">
        <f t="shared" si="8"/>
        <v>4423.08</v>
      </c>
      <c r="H353" s="35">
        <f>G353*E347</f>
        <v>115000.08</v>
      </c>
      <c r="J353" s="35">
        <v>-15000</v>
      </c>
    </row>
    <row r="354" spans="1:10" ht="25.5">
      <c r="A354" s="171"/>
      <c r="B354" s="80" t="s">
        <v>447</v>
      </c>
      <c r="C354" s="76" t="s">
        <v>127</v>
      </c>
      <c r="D354" s="82" t="s">
        <v>144</v>
      </c>
      <c r="E354" s="79">
        <v>4700</v>
      </c>
      <c r="F354" s="171"/>
      <c r="G354" s="62">
        <f t="shared" si="8"/>
        <v>4700</v>
      </c>
      <c r="H354" s="35">
        <f>G354*G348</f>
        <v>108100</v>
      </c>
    </row>
    <row r="355" spans="1:10" ht="25.5">
      <c r="A355" s="171"/>
      <c r="B355" s="80" t="s">
        <v>449</v>
      </c>
      <c r="C355" s="76" t="s">
        <v>127</v>
      </c>
      <c r="D355" s="82" t="s">
        <v>144</v>
      </c>
      <c r="E355" s="58">
        <v>7866.67</v>
      </c>
      <c r="F355" s="171"/>
      <c r="G355" s="59">
        <f t="shared" si="8"/>
        <v>7866.67</v>
      </c>
      <c r="H355" s="35">
        <f>G355*G349</f>
        <v>118000.05</v>
      </c>
      <c r="J355" s="35">
        <v>-15500</v>
      </c>
    </row>
    <row r="356" spans="1:10" ht="15.75">
      <c r="A356" s="171">
        <v>4</v>
      </c>
      <c r="B356" s="168" t="s">
        <v>37</v>
      </c>
      <c r="C356" s="76"/>
      <c r="D356" s="82"/>
      <c r="E356" s="72"/>
      <c r="F356" s="171"/>
      <c r="G356" s="171"/>
    </row>
    <row r="357" spans="1:10" ht="15.75">
      <c r="A357" s="171"/>
      <c r="B357" s="80" t="s">
        <v>266</v>
      </c>
      <c r="C357" s="76" t="s">
        <v>160</v>
      </c>
      <c r="D357" s="82" t="s">
        <v>267</v>
      </c>
      <c r="E357" s="72">
        <v>100</v>
      </c>
      <c r="F357" s="171"/>
      <c r="G357" s="62">
        <f t="shared" si="8"/>
        <v>100</v>
      </c>
    </row>
    <row r="358" spans="1:10" ht="19.5" customHeight="1">
      <c r="A358" s="171"/>
      <c r="B358" s="209" t="s">
        <v>907</v>
      </c>
      <c r="C358" s="215"/>
      <c r="D358" s="82"/>
      <c r="E358" s="72"/>
      <c r="F358" s="171"/>
      <c r="G358" s="171"/>
    </row>
    <row r="359" spans="1:10" ht="15.75">
      <c r="A359" s="171">
        <v>1</v>
      </c>
      <c r="B359" s="168" t="s">
        <v>34</v>
      </c>
      <c r="C359" s="76"/>
      <c r="D359" s="82"/>
      <c r="E359" s="72"/>
      <c r="F359" s="171"/>
      <c r="G359" s="171"/>
    </row>
    <row r="360" spans="1:10" ht="27" customHeight="1">
      <c r="A360" s="171"/>
      <c r="B360" s="80" t="s">
        <v>1068</v>
      </c>
      <c r="C360" s="76" t="s">
        <v>132</v>
      </c>
      <c r="D360" s="82" t="s">
        <v>274</v>
      </c>
      <c r="E360" s="61">
        <f>199000</f>
        <v>199000</v>
      </c>
      <c r="F360" s="171"/>
      <c r="G360" s="62">
        <f>E360+F360</f>
        <v>199000</v>
      </c>
    </row>
    <row r="361" spans="1:10" ht="15.75">
      <c r="A361" s="171">
        <v>2</v>
      </c>
      <c r="B361" s="168" t="s">
        <v>35</v>
      </c>
      <c r="C361" s="76"/>
      <c r="D361" s="82"/>
      <c r="E361" s="72"/>
      <c r="F361" s="171"/>
      <c r="G361" s="171"/>
    </row>
    <row r="362" spans="1:10" ht="25.5">
      <c r="A362" s="171"/>
      <c r="B362" s="80" t="s">
        <v>1067</v>
      </c>
      <c r="C362" s="76" t="s">
        <v>132</v>
      </c>
      <c r="D362" s="82" t="s">
        <v>128</v>
      </c>
      <c r="E362" s="72">
        <v>1</v>
      </c>
      <c r="F362" s="171"/>
      <c r="G362" s="62">
        <f>E362+F362</f>
        <v>1</v>
      </c>
    </row>
    <row r="363" spans="1:10" ht="25.5">
      <c r="A363" s="171"/>
      <c r="B363" s="80" t="s">
        <v>278</v>
      </c>
      <c r="C363" s="76" t="s">
        <v>279</v>
      </c>
      <c r="D363" s="82" t="s">
        <v>148</v>
      </c>
      <c r="E363" s="72">
        <v>8</v>
      </c>
      <c r="F363" s="171"/>
      <c r="G363" s="62">
        <f>E363+F363</f>
        <v>8</v>
      </c>
    </row>
    <row r="364" spans="1:10" ht="15.75">
      <c r="A364" s="171">
        <v>3</v>
      </c>
      <c r="B364" s="168" t="s">
        <v>36</v>
      </c>
      <c r="C364" s="76"/>
      <c r="D364" s="82"/>
      <c r="E364" s="72"/>
      <c r="F364" s="171"/>
      <c r="G364" s="171"/>
    </row>
    <row r="365" spans="1:10" ht="25.5">
      <c r="A365" s="171"/>
      <c r="B365" s="80" t="s">
        <v>1069</v>
      </c>
      <c r="C365" s="76" t="s">
        <v>127</v>
      </c>
      <c r="D365" s="82" t="s">
        <v>144</v>
      </c>
      <c r="E365" s="61">
        <f>E360/8</f>
        <v>24875</v>
      </c>
      <c r="F365" s="171"/>
      <c r="G365" s="62">
        <f>E365+F365</f>
        <v>24875</v>
      </c>
    </row>
    <row r="366" spans="1:10" ht="15.75">
      <c r="A366" s="171">
        <v>4</v>
      </c>
      <c r="B366" s="168" t="s">
        <v>37</v>
      </c>
      <c r="C366" s="76"/>
      <c r="D366" s="82"/>
      <c r="E366" s="58"/>
      <c r="F366" s="171"/>
      <c r="G366" s="171"/>
    </row>
    <row r="367" spans="1:10" ht="29.25" customHeight="1">
      <c r="A367" s="171"/>
      <c r="B367" s="80" t="s">
        <v>280</v>
      </c>
      <c r="C367" s="76" t="s">
        <v>160</v>
      </c>
      <c r="D367" s="82" t="s">
        <v>144</v>
      </c>
      <c r="E367" s="61">
        <v>100</v>
      </c>
      <c r="F367" s="171"/>
      <c r="G367" s="62">
        <f>E367+F367</f>
        <v>100</v>
      </c>
    </row>
    <row r="368" spans="1:10" ht="24.75" customHeight="1">
      <c r="A368" s="171"/>
      <c r="B368" s="209" t="s">
        <v>908</v>
      </c>
      <c r="C368" s="215"/>
      <c r="D368" s="82"/>
      <c r="E368" s="171"/>
      <c r="F368" s="171"/>
      <c r="G368" s="171"/>
    </row>
    <row r="369" spans="1:8" ht="15.75">
      <c r="A369" s="171">
        <v>1</v>
      </c>
      <c r="B369" s="168" t="s">
        <v>34</v>
      </c>
      <c r="C369" s="76"/>
      <c r="D369" s="82"/>
      <c r="E369" s="171"/>
      <c r="F369" s="171"/>
      <c r="G369" s="171"/>
    </row>
    <row r="370" spans="1:8" ht="15.75">
      <c r="A370" s="171"/>
      <c r="B370" s="80" t="s">
        <v>125</v>
      </c>
      <c r="C370" s="76" t="s">
        <v>132</v>
      </c>
      <c r="D370" s="82" t="s">
        <v>274</v>
      </c>
      <c r="E370" s="61">
        <f>49500</f>
        <v>49500</v>
      </c>
      <c r="F370" s="171"/>
      <c r="G370" s="62">
        <f>E370+F370</f>
        <v>49500</v>
      </c>
    </row>
    <row r="371" spans="1:8" ht="15.75">
      <c r="A371" s="171">
        <v>2</v>
      </c>
      <c r="B371" s="168" t="s">
        <v>35</v>
      </c>
      <c r="C371" s="76"/>
      <c r="D371" s="82"/>
      <c r="E371" s="72"/>
      <c r="F371" s="171"/>
      <c r="G371" s="171"/>
    </row>
    <row r="372" spans="1:8" ht="25.5">
      <c r="A372" s="171"/>
      <c r="B372" s="80" t="s">
        <v>281</v>
      </c>
      <c r="C372" s="76" t="s">
        <v>129</v>
      </c>
      <c r="D372" s="82" t="s">
        <v>128</v>
      </c>
      <c r="E372" s="72">
        <v>1</v>
      </c>
      <c r="F372" s="171"/>
      <c r="G372" s="62">
        <f>E372+F372</f>
        <v>1</v>
      </c>
    </row>
    <row r="373" spans="1:8" ht="15.75">
      <c r="A373" s="171">
        <v>3</v>
      </c>
      <c r="B373" s="168" t="s">
        <v>36</v>
      </c>
      <c r="C373" s="76"/>
      <c r="D373" s="82"/>
      <c r="E373" s="72"/>
      <c r="F373" s="171"/>
      <c r="G373" s="171"/>
    </row>
    <row r="374" spans="1:8" ht="25.5">
      <c r="A374" s="171"/>
      <c r="B374" s="80" t="s">
        <v>282</v>
      </c>
      <c r="C374" s="76" t="s">
        <v>127</v>
      </c>
      <c r="D374" s="82" t="s">
        <v>144</v>
      </c>
      <c r="E374" s="61">
        <f>E370/E372</f>
        <v>49500</v>
      </c>
      <c r="F374" s="171"/>
      <c r="G374" s="62">
        <f>E374+F374</f>
        <v>49500</v>
      </c>
    </row>
    <row r="375" spans="1:8" ht="15.75">
      <c r="A375" s="171">
        <v>4</v>
      </c>
      <c r="B375" s="168" t="s">
        <v>37</v>
      </c>
      <c r="C375" s="76"/>
      <c r="D375" s="82"/>
      <c r="E375" s="72"/>
      <c r="F375" s="171"/>
      <c r="G375" s="171"/>
    </row>
    <row r="376" spans="1:8" ht="15.75">
      <c r="A376" s="171"/>
      <c r="B376" s="80" t="s">
        <v>266</v>
      </c>
      <c r="C376" s="76" t="s">
        <v>160</v>
      </c>
      <c r="D376" s="82" t="s">
        <v>144</v>
      </c>
      <c r="E376" s="72">
        <v>100</v>
      </c>
      <c r="F376" s="171"/>
      <c r="G376" s="62">
        <f>E376+F376</f>
        <v>100</v>
      </c>
    </row>
    <row r="377" spans="1:8" ht="22.5" customHeight="1">
      <c r="A377" s="171"/>
      <c r="B377" s="168" t="s">
        <v>909</v>
      </c>
      <c r="C377" s="76"/>
      <c r="D377" s="82"/>
      <c r="E377" s="72"/>
      <c r="F377" s="171"/>
      <c r="G377" s="171"/>
    </row>
    <row r="378" spans="1:8" ht="15.75">
      <c r="A378" s="171">
        <v>1</v>
      </c>
      <c r="B378" s="168" t="s">
        <v>34</v>
      </c>
      <c r="C378" s="76"/>
      <c r="D378" s="82"/>
      <c r="E378" s="72"/>
      <c r="F378" s="171"/>
      <c r="G378" s="171"/>
    </row>
    <row r="379" spans="1:8" ht="15.75">
      <c r="A379" s="171"/>
      <c r="B379" s="80" t="s">
        <v>125</v>
      </c>
      <c r="C379" s="76" t="s">
        <v>132</v>
      </c>
      <c r="D379" s="81"/>
      <c r="E379" s="58">
        <f>110900</f>
        <v>110900</v>
      </c>
      <c r="F379" s="171"/>
      <c r="G379" s="59">
        <f>E379+F379</f>
        <v>110900</v>
      </c>
    </row>
    <row r="380" spans="1:8" ht="15.75">
      <c r="A380" s="171">
        <v>2</v>
      </c>
      <c r="B380" s="168" t="s">
        <v>35</v>
      </c>
      <c r="C380" s="76"/>
      <c r="D380" s="82"/>
      <c r="E380" s="72"/>
      <c r="F380" s="171"/>
      <c r="G380" s="171"/>
    </row>
    <row r="381" spans="1:8" ht="25.5">
      <c r="A381" s="171"/>
      <c r="B381" s="80" t="s">
        <v>283</v>
      </c>
      <c r="C381" s="76" t="s">
        <v>129</v>
      </c>
      <c r="D381" s="82" t="s">
        <v>128</v>
      </c>
      <c r="E381" s="72">
        <v>1</v>
      </c>
      <c r="F381" s="171"/>
      <c r="G381" s="62">
        <f>E381+F381</f>
        <v>1</v>
      </c>
    </row>
    <row r="382" spans="1:8" ht="15.75">
      <c r="A382" s="171">
        <v>3</v>
      </c>
      <c r="B382" s="168" t="s">
        <v>36</v>
      </c>
      <c r="C382" s="76"/>
      <c r="D382" s="82"/>
      <c r="E382" s="72"/>
      <c r="F382" s="171"/>
      <c r="G382" s="171"/>
      <c r="H382" s="36"/>
    </row>
    <row r="383" spans="1:8" ht="25.5">
      <c r="A383" s="171"/>
      <c r="B383" s="80" t="s">
        <v>284</v>
      </c>
      <c r="C383" s="76" t="s">
        <v>127</v>
      </c>
      <c r="D383" s="82" t="s">
        <v>144</v>
      </c>
      <c r="E383" s="61">
        <f>110900</f>
        <v>110900</v>
      </c>
      <c r="F383" s="171"/>
      <c r="G383" s="62">
        <f>E383+F383</f>
        <v>110900</v>
      </c>
    </row>
    <row r="384" spans="1:8" ht="15.75">
      <c r="A384" s="171">
        <v>4</v>
      </c>
      <c r="B384" s="168" t="s">
        <v>37</v>
      </c>
      <c r="C384" s="76"/>
      <c r="D384" s="82"/>
      <c r="E384" s="72"/>
      <c r="F384" s="171"/>
      <c r="G384" s="171"/>
    </row>
    <row r="385" spans="1:8" ht="15.75">
      <c r="A385" s="171"/>
      <c r="B385" s="80" t="s">
        <v>266</v>
      </c>
      <c r="C385" s="76" t="s">
        <v>160</v>
      </c>
      <c r="D385" s="82" t="s">
        <v>144</v>
      </c>
      <c r="E385" s="61">
        <v>100</v>
      </c>
      <c r="F385" s="171"/>
      <c r="G385" s="62">
        <f>E385+F385</f>
        <v>100</v>
      </c>
    </row>
    <row r="386" spans="1:8" ht="25.5" customHeight="1">
      <c r="A386" s="173">
        <v>7</v>
      </c>
      <c r="B386" s="209" t="s">
        <v>370</v>
      </c>
      <c r="C386" s="210"/>
      <c r="D386" s="82"/>
      <c r="E386" s="72"/>
      <c r="F386" s="171"/>
      <c r="G386" s="59"/>
    </row>
    <row r="387" spans="1:8" ht="34.5" customHeight="1">
      <c r="A387" s="57"/>
      <c r="B387" s="221" t="s">
        <v>378</v>
      </c>
      <c r="C387" s="214"/>
      <c r="D387" s="82"/>
      <c r="E387" s="171"/>
      <c r="F387" s="171"/>
      <c r="G387" s="171"/>
    </row>
    <row r="388" spans="1:8" ht="15.75">
      <c r="A388" s="60">
        <v>1</v>
      </c>
      <c r="B388" s="168" t="s">
        <v>34</v>
      </c>
      <c r="C388" s="76"/>
      <c r="D388" s="82"/>
      <c r="E388" s="171"/>
      <c r="F388" s="171"/>
      <c r="G388" s="171"/>
    </row>
    <row r="389" spans="1:8" ht="15.75">
      <c r="A389" s="60"/>
      <c r="B389" s="80" t="s">
        <v>125</v>
      </c>
      <c r="C389" s="76" t="s">
        <v>132</v>
      </c>
      <c r="D389" s="82" t="s">
        <v>128</v>
      </c>
      <c r="E389" s="58">
        <f>199000</f>
        <v>199000</v>
      </c>
      <c r="F389" s="171"/>
      <c r="G389" s="62">
        <f>E389+F389</f>
        <v>199000</v>
      </c>
      <c r="H389" s="35">
        <f>H392+H391</f>
        <v>199000</v>
      </c>
    </row>
    <row r="390" spans="1:8" ht="15.75">
      <c r="A390" s="60">
        <v>2</v>
      </c>
      <c r="B390" s="168" t="s">
        <v>35</v>
      </c>
      <c r="C390" s="76"/>
      <c r="D390" s="82"/>
      <c r="E390" s="72"/>
      <c r="F390" s="171"/>
      <c r="G390" s="171"/>
    </row>
    <row r="391" spans="1:8" ht="25.5">
      <c r="A391" s="60"/>
      <c r="B391" s="80" t="s">
        <v>268</v>
      </c>
      <c r="C391" s="76" t="s">
        <v>129</v>
      </c>
      <c r="D391" s="82" t="s">
        <v>128</v>
      </c>
      <c r="E391" s="72">
        <v>1</v>
      </c>
      <c r="F391" s="171"/>
      <c r="G391" s="62">
        <f>E391+F391</f>
        <v>1</v>
      </c>
      <c r="H391" s="35">
        <f>G394*G391</f>
        <v>30000</v>
      </c>
    </row>
    <row r="392" spans="1:8" ht="25.5">
      <c r="A392" s="60"/>
      <c r="B392" s="80" t="s">
        <v>933</v>
      </c>
      <c r="C392" s="76" t="s">
        <v>129</v>
      </c>
      <c r="D392" s="82" t="s">
        <v>128</v>
      </c>
      <c r="E392" s="72">
        <v>2</v>
      </c>
      <c r="F392" s="171"/>
      <c r="G392" s="62">
        <f>E392</f>
        <v>2</v>
      </c>
      <c r="H392" s="35">
        <f>G395*G392</f>
        <v>169000</v>
      </c>
    </row>
    <row r="393" spans="1:8" ht="15.75">
      <c r="A393" s="60">
        <v>3</v>
      </c>
      <c r="B393" s="168" t="s">
        <v>36</v>
      </c>
      <c r="C393" s="76"/>
      <c r="D393" s="82"/>
      <c r="E393" s="72"/>
      <c r="F393" s="171"/>
      <c r="G393" s="171"/>
    </row>
    <row r="394" spans="1:8" ht="25.5">
      <c r="A394" s="60"/>
      <c r="B394" s="80" t="s">
        <v>269</v>
      </c>
      <c r="C394" s="76" t="s">
        <v>132</v>
      </c>
      <c r="D394" s="82" t="s">
        <v>156</v>
      </c>
      <c r="E394" s="58">
        <f>30000</f>
        <v>30000</v>
      </c>
      <c r="F394" s="171"/>
      <c r="G394" s="62">
        <f>E394+F394</f>
        <v>30000</v>
      </c>
    </row>
    <row r="395" spans="1:8" ht="15.75">
      <c r="A395" s="60"/>
      <c r="B395" s="80" t="s">
        <v>934</v>
      </c>
      <c r="C395" s="76" t="s">
        <v>127</v>
      </c>
      <c r="D395" s="82" t="s">
        <v>156</v>
      </c>
      <c r="E395" s="58">
        <v>84500</v>
      </c>
      <c r="F395" s="171"/>
      <c r="G395" s="62">
        <f>E395</f>
        <v>84500</v>
      </c>
    </row>
    <row r="396" spans="1:8" ht="15.75">
      <c r="A396" s="60">
        <v>4</v>
      </c>
      <c r="B396" s="168" t="s">
        <v>37</v>
      </c>
      <c r="C396" s="76"/>
      <c r="D396" s="82"/>
      <c r="E396" s="72"/>
      <c r="F396" s="171"/>
      <c r="G396" s="171"/>
    </row>
    <row r="397" spans="1:8" ht="24">
      <c r="A397" s="60"/>
      <c r="B397" s="80" t="s">
        <v>270</v>
      </c>
      <c r="C397" s="76" t="s">
        <v>129</v>
      </c>
      <c r="D397" s="82" t="s">
        <v>271</v>
      </c>
      <c r="E397" s="72">
        <v>15</v>
      </c>
      <c r="F397" s="171"/>
      <c r="G397" s="62">
        <f>E397+F397</f>
        <v>15</v>
      </c>
    </row>
    <row r="398" spans="1:8" ht="21" customHeight="1">
      <c r="A398" s="57">
        <v>8</v>
      </c>
      <c r="B398" s="216" t="s">
        <v>371</v>
      </c>
      <c r="C398" s="216"/>
      <c r="D398" s="82"/>
      <c r="E398" s="72"/>
      <c r="F398" s="171"/>
      <c r="G398" s="59"/>
    </row>
    <row r="399" spans="1:8" ht="29.25" customHeight="1">
      <c r="A399" s="171"/>
      <c r="B399" s="221" t="s">
        <v>507</v>
      </c>
      <c r="C399" s="214"/>
      <c r="D399" s="171"/>
      <c r="E399" s="171"/>
      <c r="F399" s="171"/>
      <c r="G399" s="171"/>
    </row>
    <row r="400" spans="1:8" ht="15.75">
      <c r="A400" s="171">
        <v>1</v>
      </c>
      <c r="B400" s="168" t="s">
        <v>34</v>
      </c>
      <c r="C400" s="52"/>
      <c r="D400" s="171"/>
      <c r="E400" s="171"/>
      <c r="F400" s="171"/>
      <c r="G400" s="171"/>
    </row>
    <row r="401" spans="1:7" ht="15.75">
      <c r="A401" s="171"/>
      <c r="B401" s="80" t="s">
        <v>125</v>
      </c>
      <c r="C401" s="76" t="s">
        <v>132</v>
      </c>
      <c r="D401" s="82" t="s">
        <v>133</v>
      </c>
      <c r="E401" s="61">
        <f>95000</f>
        <v>95000</v>
      </c>
      <c r="F401" s="171"/>
      <c r="G401" s="62">
        <f>E401+F401</f>
        <v>95000</v>
      </c>
    </row>
    <row r="402" spans="1:7" ht="15.75">
      <c r="A402" s="171">
        <v>2</v>
      </c>
      <c r="B402" s="168" t="s">
        <v>35</v>
      </c>
      <c r="C402" s="76"/>
      <c r="D402" s="82"/>
      <c r="E402" s="72"/>
      <c r="F402" s="171"/>
      <c r="G402" s="171"/>
    </row>
    <row r="403" spans="1:7" ht="25.5">
      <c r="A403" s="171"/>
      <c r="B403" s="126" t="s">
        <v>508</v>
      </c>
      <c r="C403" s="156" t="s">
        <v>129</v>
      </c>
      <c r="D403" s="125" t="s">
        <v>128</v>
      </c>
      <c r="E403" s="61">
        <v>9</v>
      </c>
      <c r="F403" s="171"/>
      <c r="G403" s="62">
        <f>E403+F403</f>
        <v>9</v>
      </c>
    </row>
    <row r="404" spans="1:7" ht="15.75">
      <c r="A404" s="171">
        <v>3</v>
      </c>
      <c r="B404" s="167" t="s">
        <v>36</v>
      </c>
      <c r="C404" s="156"/>
      <c r="D404" s="125"/>
      <c r="E404" s="72"/>
      <c r="F404" s="171"/>
      <c r="G404" s="171"/>
    </row>
    <row r="405" spans="1:7" ht="25.5">
      <c r="A405" s="171"/>
      <c r="B405" s="126" t="s">
        <v>272</v>
      </c>
      <c r="C405" s="156" t="s">
        <v>127</v>
      </c>
      <c r="D405" s="125" t="s">
        <v>144</v>
      </c>
      <c r="E405" s="58">
        <f>E401/E403</f>
        <v>10555.555555555555</v>
      </c>
      <c r="F405" s="171"/>
      <c r="G405" s="59">
        <f>E405+F405</f>
        <v>10555.555555555555</v>
      </c>
    </row>
    <row r="406" spans="1:7" ht="15.75">
      <c r="A406" s="171">
        <v>4</v>
      </c>
      <c r="B406" s="168" t="s">
        <v>37</v>
      </c>
      <c r="C406" s="76"/>
      <c r="D406" s="82"/>
      <c r="E406" s="72"/>
      <c r="F406" s="171"/>
      <c r="G406" s="171"/>
    </row>
    <row r="407" spans="1:7" ht="38.25">
      <c r="A407" s="171"/>
      <c r="B407" s="80" t="s">
        <v>273</v>
      </c>
      <c r="C407" s="76" t="s">
        <v>160</v>
      </c>
      <c r="D407" s="82" t="s">
        <v>144</v>
      </c>
      <c r="E407" s="61">
        <v>100</v>
      </c>
      <c r="F407" s="171"/>
      <c r="G407" s="62">
        <f>E407+F407</f>
        <v>100</v>
      </c>
    </row>
    <row r="408" spans="1:7" ht="21.75" customHeight="1">
      <c r="A408" s="171"/>
      <c r="B408" s="168" t="s">
        <v>379</v>
      </c>
      <c r="C408" s="76"/>
      <c r="D408" s="82"/>
      <c r="E408" s="171"/>
      <c r="F408" s="171"/>
      <c r="G408" s="171"/>
    </row>
    <row r="409" spans="1:7" ht="15.75">
      <c r="A409" s="171">
        <v>1</v>
      </c>
      <c r="B409" s="168" t="s">
        <v>34</v>
      </c>
      <c r="C409" s="76"/>
      <c r="D409" s="82"/>
      <c r="E409" s="171"/>
      <c r="F409" s="171"/>
      <c r="G409" s="171"/>
    </row>
    <row r="410" spans="1:7" ht="15.75">
      <c r="A410" s="171"/>
      <c r="B410" s="80" t="s">
        <v>125</v>
      </c>
      <c r="C410" s="76" t="s">
        <v>132</v>
      </c>
      <c r="D410" s="82" t="s">
        <v>274</v>
      </c>
      <c r="E410" s="61">
        <f>5000</f>
        <v>5000</v>
      </c>
      <c r="F410" s="171"/>
      <c r="G410" s="62">
        <f>E410+F410</f>
        <v>5000</v>
      </c>
    </row>
    <row r="411" spans="1:7" ht="15.75">
      <c r="A411" s="171">
        <v>2</v>
      </c>
      <c r="B411" s="168" t="s">
        <v>35</v>
      </c>
      <c r="C411" s="76"/>
      <c r="D411" s="82"/>
      <c r="E411" s="72"/>
      <c r="F411" s="171"/>
      <c r="G411" s="171"/>
    </row>
    <row r="412" spans="1:7" ht="15.75">
      <c r="A412" s="171"/>
      <c r="B412" s="80" t="s">
        <v>275</v>
      </c>
      <c r="C412" s="76" t="s">
        <v>129</v>
      </c>
      <c r="D412" s="82" t="s">
        <v>128</v>
      </c>
      <c r="E412" s="61">
        <v>2</v>
      </c>
      <c r="F412" s="171"/>
      <c r="G412" s="62">
        <f>E412+F412</f>
        <v>2</v>
      </c>
    </row>
    <row r="413" spans="1:7" ht="15.75">
      <c r="A413" s="171">
        <v>3</v>
      </c>
      <c r="B413" s="168" t="s">
        <v>36</v>
      </c>
      <c r="C413" s="76"/>
      <c r="D413" s="82"/>
      <c r="E413" s="72"/>
      <c r="F413" s="171"/>
      <c r="G413" s="171"/>
    </row>
    <row r="414" spans="1:7" ht="25.5">
      <c r="A414" s="171"/>
      <c r="B414" s="80" t="s">
        <v>276</v>
      </c>
      <c r="C414" s="76" t="s">
        <v>132</v>
      </c>
      <c r="D414" s="82" t="s">
        <v>144</v>
      </c>
      <c r="E414" s="61">
        <f>E410/E412</f>
        <v>2500</v>
      </c>
      <c r="F414" s="171"/>
      <c r="G414" s="62">
        <f>E414+F414</f>
        <v>2500</v>
      </c>
    </row>
    <row r="415" spans="1:7" ht="15.75">
      <c r="A415" s="171">
        <v>4</v>
      </c>
      <c r="B415" s="168" t="s">
        <v>37</v>
      </c>
      <c r="C415" s="76"/>
      <c r="D415" s="82"/>
      <c r="E415" s="72"/>
      <c r="F415" s="171"/>
      <c r="G415" s="62"/>
    </row>
    <row r="416" spans="1:7" ht="25.5">
      <c r="A416" s="171"/>
      <c r="B416" s="80" t="s">
        <v>277</v>
      </c>
      <c r="C416" s="76" t="s">
        <v>160</v>
      </c>
      <c r="D416" s="82" t="s">
        <v>144</v>
      </c>
      <c r="E416" s="61">
        <v>100</v>
      </c>
      <c r="F416" s="171"/>
      <c r="G416" s="62">
        <f>E416+F416</f>
        <v>100</v>
      </c>
    </row>
    <row r="417" spans="1:7" ht="24" customHeight="1">
      <c r="A417" s="171">
        <v>9</v>
      </c>
      <c r="B417" s="139" t="s">
        <v>285</v>
      </c>
      <c r="C417" s="52"/>
      <c r="D417" s="171"/>
      <c r="E417" s="171"/>
      <c r="F417" s="171"/>
      <c r="G417" s="171"/>
    </row>
    <row r="418" spans="1:7" ht="27" customHeight="1">
      <c r="A418" s="171"/>
      <c r="B418" s="139" t="s">
        <v>380</v>
      </c>
      <c r="C418" s="52"/>
      <c r="D418" s="171"/>
      <c r="E418" s="171"/>
      <c r="F418" s="66">
        <f>F421+F432+F443+F454+F465+F476+F485+F494+F503+F512+F521+F530+F539+F550+F561+F570+F581+F592+F603+F614+F625+F636+F647+F658+F667</f>
        <v>16224747</v>
      </c>
      <c r="G418" s="66">
        <f>F418</f>
        <v>16224747</v>
      </c>
    </row>
    <row r="419" spans="1:7" ht="30.75" customHeight="1">
      <c r="A419" s="171"/>
      <c r="B419" s="213" t="s">
        <v>509</v>
      </c>
      <c r="C419" s="214"/>
      <c r="D419" s="87"/>
      <c r="E419" s="171"/>
      <c r="F419" s="171"/>
      <c r="G419" s="171"/>
    </row>
    <row r="420" spans="1:7" ht="19.5" customHeight="1">
      <c r="A420" s="171">
        <v>1</v>
      </c>
      <c r="B420" s="155" t="s">
        <v>34</v>
      </c>
      <c r="C420" s="76"/>
      <c r="D420" s="60"/>
      <c r="E420" s="171"/>
      <c r="F420" s="171"/>
      <c r="G420" s="171"/>
    </row>
    <row r="421" spans="1:7" ht="39" customHeight="1">
      <c r="A421" s="171"/>
      <c r="B421" s="85" t="s">
        <v>510</v>
      </c>
      <c r="C421" s="74" t="s">
        <v>127</v>
      </c>
      <c r="D421" s="74" t="s">
        <v>286</v>
      </c>
      <c r="E421" s="171"/>
      <c r="F421" s="62">
        <f>500000</f>
        <v>500000</v>
      </c>
      <c r="G421" s="62">
        <f>E421+F421</f>
        <v>500000</v>
      </c>
    </row>
    <row r="422" spans="1:7" ht="15.75">
      <c r="A422" s="171">
        <v>2</v>
      </c>
      <c r="B422" s="155" t="s">
        <v>35</v>
      </c>
      <c r="C422" s="76"/>
      <c r="D422" s="60"/>
      <c r="E422" s="171"/>
      <c r="F422" s="171"/>
      <c r="G422" s="171"/>
    </row>
    <row r="423" spans="1:7" ht="25.5">
      <c r="A423" s="171"/>
      <c r="B423" s="85" t="s">
        <v>511</v>
      </c>
      <c r="C423" s="74" t="s">
        <v>141</v>
      </c>
      <c r="D423" s="87" t="s">
        <v>148</v>
      </c>
      <c r="E423" s="171"/>
      <c r="F423" s="171">
        <v>1</v>
      </c>
      <c r="G423" s="171">
        <f>F423</f>
        <v>1</v>
      </c>
    </row>
    <row r="424" spans="1:7" ht="25.5">
      <c r="A424" s="171"/>
      <c r="B424" s="85" t="s">
        <v>512</v>
      </c>
      <c r="C424" s="74" t="s">
        <v>287</v>
      </c>
      <c r="D424" s="87" t="s">
        <v>148</v>
      </c>
      <c r="E424" s="171"/>
      <c r="F424" s="62">
        <f>(F421-F426)/F427</f>
        <v>218.18181818181819</v>
      </c>
      <c r="G424" s="62">
        <f>E424+F424</f>
        <v>218.18181818181819</v>
      </c>
    </row>
    <row r="425" spans="1:7" ht="15.75">
      <c r="A425" s="171">
        <v>3</v>
      </c>
      <c r="B425" s="155" t="s">
        <v>36</v>
      </c>
      <c r="C425" s="76"/>
      <c r="D425" s="60"/>
      <c r="E425" s="171"/>
      <c r="F425" s="171"/>
      <c r="G425" s="171"/>
    </row>
    <row r="426" spans="1:7" ht="25.5">
      <c r="A426" s="171"/>
      <c r="B426" s="85" t="s">
        <v>513</v>
      </c>
      <c r="C426" s="74" t="s">
        <v>132</v>
      </c>
      <c r="D426" s="87" t="s">
        <v>144</v>
      </c>
      <c r="E426" s="171"/>
      <c r="F426" s="59">
        <v>20000</v>
      </c>
      <c r="G426" s="59">
        <f>F426</f>
        <v>20000</v>
      </c>
    </row>
    <row r="427" spans="1:7" ht="28.5">
      <c r="A427" s="171"/>
      <c r="B427" s="85" t="s">
        <v>514</v>
      </c>
      <c r="C427" s="74" t="s">
        <v>132</v>
      </c>
      <c r="D427" s="87" t="s">
        <v>144</v>
      </c>
      <c r="E427" s="171"/>
      <c r="F427" s="59">
        <v>2200</v>
      </c>
      <c r="G427" s="59">
        <f>E427+F427</f>
        <v>2200</v>
      </c>
    </row>
    <row r="428" spans="1:7" ht="15.75">
      <c r="A428" s="171">
        <v>4</v>
      </c>
      <c r="B428" s="155" t="s">
        <v>37</v>
      </c>
      <c r="C428" s="76"/>
      <c r="D428" s="60"/>
      <c r="E428" s="171"/>
      <c r="F428" s="171"/>
      <c r="G428" s="171"/>
    </row>
    <row r="429" spans="1:7" ht="30" customHeight="1">
      <c r="A429" s="171"/>
      <c r="B429" s="89" t="s">
        <v>515</v>
      </c>
      <c r="C429" s="74" t="s">
        <v>160</v>
      </c>
      <c r="D429" s="74" t="s">
        <v>156</v>
      </c>
      <c r="E429" s="171"/>
      <c r="F429" s="171">
        <v>100</v>
      </c>
      <c r="G429" s="62">
        <f>E429+F429</f>
        <v>100</v>
      </c>
    </row>
    <row r="430" spans="1:7" ht="35.25" customHeight="1">
      <c r="A430" s="171"/>
      <c r="B430" s="221" t="s">
        <v>957</v>
      </c>
      <c r="C430" s="214"/>
      <c r="D430" s="87"/>
      <c r="E430" s="171"/>
      <c r="F430" s="171"/>
      <c r="G430" s="171"/>
    </row>
    <row r="431" spans="1:7" ht="15.75">
      <c r="A431" s="171">
        <v>1</v>
      </c>
      <c r="B431" s="155" t="s">
        <v>34</v>
      </c>
      <c r="C431" s="76"/>
      <c r="D431" s="87"/>
      <c r="E431" s="171"/>
      <c r="F431" s="171"/>
      <c r="G431" s="171"/>
    </row>
    <row r="432" spans="1:7" ht="26.25">
      <c r="A432" s="171"/>
      <c r="B432" s="89" t="s">
        <v>516</v>
      </c>
      <c r="C432" s="87" t="s">
        <v>127</v>
      </c>
      <c r="D432" s="87" t="s">
        <v>286</v>
      </c>
      <c r="E432" s="171"/>
      <c r="F432" s="90">
        <f>400000</f>
        <v>400000</v>
      </c>
      <c r="G432" s="59">
        <f>E432+F432</f>
        <v>400000</v>
      </c>
    </row>
    <row r="433" spans="1:7" ht="15.75">
      <c r="A433" s="171">
        <v>2</v>
      </c>
      <c r="B433" s="155" t="s">
        <v>35</v>
      </c>
      <c r="C433" s="158"/>
      <c r="D433" s="91"/>
      <c r="E433" s="171"/>
      <c r="F433" s="60"/>
      <c r="G433" s="171"/>
    </row>
    <row r="434" spans="1:7" ht="39">
      <c r="A434" s="171"/>
      <c r="B434" s="89" t="s">
        <v>517</v>
      </c>
      <c r="C434" s="74" t="s">
        <v>141</v>
      </c>
      <c r="D434" s="74" t="s">
        <v>148</v>
      </c>
      <c r="E434" s="171"/>
      <c r="F434" s="60">
        <v>1</v>
      </c>
      <c r="G434" s="171">
        <f>F434</f>
        <v>1</v>
      </c>
    </row>
    <row r="435" spans="1:7" ht="26.25">
      <c r="A435" s="171"/>
      <c r="B435" s="89" t="s">
        <v>518</v>
      </c>
      <c r="C435" s="74" t="s">
        <v>287</v>
      </c>
      <c r="D435" s="74" t="s">
        <v>148</v>
      </c>
      <c r="E435" s="171"/>
      <c r="F435" s="62">
        <f>(F432-F437)/F438</f>
        <v>172.72727272727272</v>
      </c>
      <c r="G435" s="62">
        <f>F435</f>
        <v>172.72727272727272</v>
      </c>
    </row>
    <row r="436" spans="1:7" ht="15.75">
      <c r="A436" s="171">
        <v>3</v>
      </c>
      <c r="B436" s="155" t="s">
        <v>36</v>
      </c>
      <c r="C436" s="76"/>
      <c r="D436" s="60"/>
      <c r="E436" s="171"/>
      <c r="F436" s="60"/>
      <c r="G436" s="171"/>
    </row>
    <row r="437" spans="1:7" ht="39">
      <c r="A437" s="171"/>
      <c r="B437" s="89" t="s">
        <v>519</v>
      </c>
      <c r="C437" s="74" t="s">
        <v>132</v>
      </c>
      <c r="D437" s="74" t="s">
        <v>144</v>
      </c>
      <c r="E437" s="171"/>
      <c r="F437" s="90">
        <v>20000</v>
      </c>
      <c r="G437" s="59">
        <f>F437</f>
        <v>20000</v>
      </c>
    </row>
    <row r="438" spans="1:7" ht="29.25">
      <c r="A438" s="171"/>
      <c r="B438" s="89" t="s">
        <v>520</v>
      </c>
      <c r="C438" s="74" t="s">
        <v>132</v>
      </c>
      <c r="D438" s="74" t="s">
        <v>144</v>
      </c>
      <c r="E438" s="171"/>
      <c r="F438" s="90">
        <v>2200</v>
      </c>
      <c r="G438" s="59">
        <f>F438</f>
        <v>2200</v>
      </c>
    </row>
    <row r="439" spans="1:7" ht="15.75">
      <c r="A439" s="171">
        <v>4</v>
      </c>
      <c r="B439" s="155" t="s">
        <v>37</v>
      </c>
      <c r="C439" s="76"/>
      <c r="D439" s="60"/>
      <c r="E439" s="171"/>
      <c r="F439" s="60"/>
      <c r="G439" s="171"/>
    </row>
    <row r="440" spans="1:7" ht="39">
      <c r="A440" s="171"/>
      <c r="B440" s="89" t="s">
        <v>521</v>
      </c>
      <c r="C440" s="74" t="s">
        <v>160</v>
      </c>
      <c r="D440" s="74" t="s">
        <v>156</v>
      </c>
      <c r="E440" s="171"/>
      <c r="F440" s="60">
        <v>100</v>
      </c>
      <c r="G440" s="171">
        <f>F440</f>
        <v>100</v>
      </c>
    </row>
    <row r="441" spans="1:7" ht="28.5" customHeight="1">
      <c r="A441" s="171"/>
      <c r="B441" s="213" t="s">
        <v>958</v>
      </c>
      <c r="C441" s="214"/>
      <c r="D441" s="60"/>
      <c r="E441" s="171"/>
      <c r="F441" s="171"/>
      <c r="G441" s="171"/>
    </row>
    <row r="442" spans="1:7" ht="15.75">
      <c r="A442" s="171">
        <v>1</v>
      </c>
      <c r="B442" s="155" t="s">
        <v>34</v>
      </c>
      <c r="C442" s="76"/>
      <c r="D442" s="60"/>
      <c r="E442" s="171"/>
      <c r="F442" s="171"/>
      <c r="G442" s="171"/>
    </row>
    <row r="443" spans="1:7" ht="26.25">
      <c r="A443" s="171"/>
      <c r="B443" s="89" t="s">
        <v>522</v>
      </c>
      <c r="C443" s="87" t="s">
        <v>127</v>
      </c>
      <c r="D443" s="87" t="s">
        <v>286</v>
      </c>
      <c r="E443" s="171"/>
      <c r="F443" s="90">
        <f>500000</f>
        <v>500000</v>
      </c>
      <c r="G443" s="59">
        <f>F443</f>
        <v>500000</v>
      </c>
    </row>
    <row r="444" spans="1:7" ht="15.75">
      <c r="A444" s="171">
        <v>2</v>
      </c>
      <c r="B444" s="155" t="s">
        <v>35</v>
      </c>
      <c r="C444" s="76"/>
      <c r="D444" s="60"/>
      <c r="E444" s="171"/>
      <c r="F444" s="60"/>
      <c r="G444" s="171"/>
    </row>
    <row r="445" spans="1:7" ht="39">
      <c r="A445" s="171"/>
      <c r="B445" s="89" t="s">
        <v>523</v>
      </c>
      <c r="C445" s="74" t="s">
        <v>141</v>
      </c>
      <c r="D445" s="74" t="s">
        <v>148</v>
      </c>
      <c r="E445" s="171"/>
      <c r="F445" s="60">
        <v>1</v>
      </c>
      <c r="G445" s="171">
        <f>F445</f>
        <v>1</v>
      </c>
    </row>
    <row r="446" spans="1:7" ht="26.25">
      <c r="A446" s="171"/>
      <c r="B446" s="89" t="s">
        <v>524</v>
      </c>
      <c r="C446" s="74" t="s">
        <v>287</v>
      </c>
      <c r="D446" s="74" t="s">
        <v>148</v>
      </c>
      <c r="E446" s="171"/>
      <c r="F446" s="62">
        <f>(F443-F448)/F449</f>
        <v>218.18181818181819</v>
      </c>
      <c r="G446" s="122">
        <f>F446</f>
        <v>218.18181818181819</v>
      </c>
    </row>
    <row r="447" spans="1:7" ht="15.75">
      <c r="A447" s="171">
        <v>3</v>
      </c>
      <c r="B447" s="155" t="s">
        <v>36</v>
      </c>
      <c r="C447" s="76"/>
      <c r="D447" s="60"/>
      <c r="E447" s="171"/>
      <c r="F447" s="60"/>
      <c r="G447" s="171"/>
    </row>
    <row r="448" spans="1:7" ht="39">
      <c r="A448" s="171"/>
      <c r="B448" s="89" t="s">
        <v>525</v>
      </c>
      <c r="C448" s="74" t="s">
        <v>132</v>
      </c>
      <c r="D448" s="74" t="s">
        <v>144</v>
      </c>
      <c r="E448" s="171"/>
      <c r="F448" s="90">
        <v>20000</v>
      </c>
      <c r="G448" s="59">
        <f>F448</f>
        <v>20000</v>
      </c>
    </row>
    <row r="449" spans="1:7" ht="29.25">
      <c r="A449" s="171"/>
      <c r="B449" s="89" t="s">
        <v>526</v>
      </c>
      <c r="C449" s="74" t="s">
        <v>132</v>
      </c>
      <c r="D449" s="74" t="s">
        <v>144</v>
      </c>
      <c r="E449" s="171"/>
      <c r="F449" s="90">
        <v>2200</v>
      </c>
      <c r="G449" s="59">
        <f>F449</f>
        <v>2200</v>
      </c>
    </row>
    <row r="450" spans="1:7" ht="15.75">
      <c r="A450" s="171">
        <v>4</v>
      </c>
      <c r="B450" s="155" t="s">
        <v>37</v>
      </c>
      <c r="C450" s="76"/>
      <c r="D450" s="60"/>
      <c r="E450" s="171"/>
      <c r="F450" s="60"/>
      <c r="G450" s="171"/>
    </row>
    <row r="451" spans="1:7" ht="26.25">
      <c r="A451" s="171"/>
      <c r="B451" s="89" t="s">
        <v>527</v>
      </c>
      <c r="C451" s="74" t="s">
        <v>160</v>
      </c>
      <c r="D451" s="74" t="s">
        <v>156</v>
      </c>
      <c r="E451" s="171"/>
      <c r="F451" s="60">
        <v>100</v>
      </c>
      <c r="G451" s="171">
        <f>F451</f>
        <v>100</v>
      </c>
    </row>
    <row r="452" spans="1:7" ht="32.25" customHeight="1">
      <c r="A452" s="171"/>
      <c r="B452" s="213" t="s">
        <v>959</v>
      </c>
      <c r="C452" s="214"/>
      <c r="D452" s="60"/>
      <c r="E452" s="171"/>
      <c r="F452" s="171"/>
      <c r="G452" s="171"/>
    </row>
    <row r="453" spans="1:7" ht="15.75">
      <c r="A453" s="171">
        <v>1</v>
      </c>
      <c r="B453" s="155" t="s">
        <v>34</v>
      </c>
      <c r="C453" s="76"/>
      <c r="D453" s="60"/>
      <c r="E453" s="171"/>
      <c r="F453" s="171"/>
      <c r="G453" s="171"/>
    </row>
    <row r="454" spans="1:7" ht="26.25">
      <c r="A454" s="171"/>
      <c r="B454" s="89" t="s">
        <v>528</v>
      </c>
      <c r="C454" s="87" t="s">
        <v>127</v>
      </c>
      <c r="D454" s="92" t="s">
        <v>286</v>
      </c>
      <c r="E454" s="171"/>
      <c r="F454" s="90">
        <f>299000</f>
        <v>299000</v>
      </c>
      <c r="G454" s="59">
        <f>F454</f>
        <v>299000</v>
      </c>
    </row>
    <row r="455" spans="1:7" ht="15.75">
      <c r="A455" s="171">
        <v>2</v>
      </c>
      <c r="B455" s="155" t="s">
        <v>35</v>
      </c>
      <c r="C455" s="76"/>
      <c r="D455" s="60"/>
      <c r="E455" s="171"/>
      <c r="F455" s="60"/>
      <c r="G455" s="171"/>
    </row>
    <row r="456" spans="1:7" ht="39">
      <c r="A456" s="171"/>
      <c r="B456" s="89" t="s">
        <v>529</v>
      </c>
      <c r="C456" s="76" t="s">
        <v>141</v>
      </c>
      <c r="D456" s="74" t="s">
        <v>148</v>
      </c>
      <c r="E456" s="171"/>
      <c r="F456" s="60">
        <v>1</v>
      </c>
      <c r="G456" s="171">
        <f>F456</f>
        <v>1</v>
      </c>
    </row>
    <row r="457" spans="1:7" ht="26.25">
      <c r="A457" s="171"/>
      <c r="B457" s="89" t="s">
        <v>530</v>
      </c>
      <c r="C457" s="74" t="s">
        <v>287</v>
      </c>
      <c r="D457" s="74" t="s">
        <v>148</v>
      </c>
      <c r="E457" s="171"/>
      <c r="F457" s="78">
        <f>(F454-F459)/F460</f>
        <v>126.81818181818181</v>
      </c>
      <c r="G457" s="94">
        <f>F457</f>
        <v>126.81818181818181</v>
      </c>
    </row>
    <row r="458" spans="1:7" ht="15.75">
      <c r="A458" s="171">
        <v>3</v>
      </c>
      <c r="B458" s="155" t="s">
        <v>36</v>
      </c>
      <c r="C458" s="76"/>
      <c r="D458" s="60"/>
      <c r="E458" s="171"/>
      <c r="F458" s="60"/>
      <c r="G458" s="171"/>
    </row>
    <row r="459" spans="1:7" ht="39">
      <c r="A459" s="171"/>
      <c r="B459" s="89" t="s">
        <v>531</v>
      </c>
      <c r="C459" s="87" t="s">
        <v>127</v>
      </c>
      <c r="D459" s="74" t="s">
        <v>156</v>
      </c>
      <c r="E459" s="171"/>
      <c r="F459" s="90">
        <v>20000</v>
      </c>
      <c r="G459" s="59">
        <f>F459</f>
        <v>20000</v>
      </c>
    </row>
    <row r="460" spans="1:7" ht="29.25">
      <c r="A460" s="171"/>
      <c r="B460" s="89" t="s">
        <v>532</v>
      </c>
      <c r="C460" s="74" t="s">
        <v>132</v>
      </c>
      <c r="D460" s="74" t="s">
        <v>156</v>
      </c>
      <c r="E460" s="171"/>
      <c r="F460" s="90">
        <v>2200</v>
      </c>
      <c r="G460" s="59">
        <f>F460</f>
        <v>2200</v>
      </c>
    </row>
    <row r="461" spans="1:7" ht="15.75">
      <c r="A461" s="171">
        <v>4</v>
      </c>
      <c r="B461" s="155" t="s">
        <v>37</v>
      </c>
      <c r="C461" s="76"/>
      <c r="D461" s="60"/>
      <c r="E461" s="171"/>
      <c r="F461" s="60"/>
      <c r="G461" s="171"/>
    </row>
    <row r="462" spans="1:7" ht="26.25">
      <c r="A462" s="171"/>
      <c r="B462" s="89" t="s">
        <v>533</v>
      </c>
      <c r="C462" s="74" t="s">
        <v>160</v>
      </c>
      <c r="D462" s="74" t="s">
        <v>156</v>
      </c>
      <c r="E462" s="171"/>
      <c r="F462" s="60">
        <v>100</v>
      </c>
      <c r="G462" s="171">
        <f>F462</f>
        <v>100</v>
      </c>
    </row>
    <row r="463" spans="1:7" ht="31.5" customHeight="1">
      <c r="A463" s="171"/>
      <c r="B463" s="219" t="s">
        <v>960</v>
      </c>
      <c r="C463" s="214"/>
      <c r="D463" s="60"/>
      <c r="E463" s="171"/>
      <c r="F463" s="171"/>
      <c r="G463" s="171"/>
    </row>
    <row r="464" spans="1:7" ht="15.75">
      <c r="A464" s="171">
        <v>1</v>
      </c>
      <c r="B464" s="155" t="s">
        <v>34</v>
      </c>
      <c r="C464" s="76"/>
      <c r="D464" s="60"/>
      <c r="E464" s="171"/>
      <c r="F464" s="171"/>
      <c r="G464" s="171"/>
    </row>
    <row r="465" spans="1:7" ht="37.5" customHeight="1">
      <c r="A465" s="171"/>
      <c r="B465" s="89" t="s">
        <v>534</v>
      </c>
      <c r="C465" s="87" t="s">
        <v>127</v>
      </c>
      <c r="D465" s="87" t="s">
        <v>286</v>
      </c>
      <c r="E465" s="171"/>
      <c r="F465" s="95">
        <f>1000000</f>
        <v>1000000</v>
      </c>
      <c r="G465" s="62">
        <f>F465</f>
        <v>1000000</v>
      </c>
    </row>
    <row r="466" spans="1:7" ht="15.75">
      <c r="A466" s="171">
        <v>2</v>
      </c>
      <c r="B466" s="155" t="s">
        <v>35</v>
      </c>
      <c r="C466" s="76"/>
      <c r="D466" s="60"/>
      <c r="E466" s="171"/>
      <c r="F466" s="60"/>
      <c r="G466" s="171"/>
    </row>
    <row r="467" spans="1:7" ht="39">
      <c r="A467" s="171"/>
      <c r="B467" s="89" t="s">
        <v>535</v>
      </c>
      <c r="C467" s="74" t="s">
        <v>141</v>
      </c>
      <c r="D467" s="74" t="s">
        <v>148</v>
      </c>
      <c r="E467" s="171"/>
      <c r="F467" s="60">
        <v>1</v>
      </c>
      <c r="G467" s="171">
        <f>F467</f>
        <v>1</v>
      </c>
    </row>
    <row r="468" spans="1:7" ht="25.5">
      <c r="A468" s="171"/>
      <c r="B468" s="85" t="s">
        <v>536</v>
      </c>
      <c r="C468" s="74" t="s">
        <v>287</v>
      </c>
      <c r="D468" s="74" t="s">
        <v>148</v>
      </c>
      <c r="E468" s="171"/>
      <c r="F468" s="93">
        <f>(F465-F470)/F471</f>
        <v>440.90909090909093</v>
      </c>
      <c r="G468" s="94">
        <f>F468</f>
        <v>440.90909090909093</v>
      </c>
    </row>
    <row r="469" spans="1:7" ht="15.75">
      <c r="A469" s="171">
        <v>3</v>
      </c>
      <c r="B469" s="155" t="s">
        <v>36</v>
      </c>
      <c r="C469" s="76"/>
      <c r="D469" s="60"/>
      <c r="E469" s="171"/>
      <c r="F469" s="60"/>
      <c r="G469" s="171"/>
    </row>
    <row r="470" spans="1:7" ht="39">
      <c r="A470" s="171"/>
      <c r="B470" s="89" t="s">
        <v>537</v>
      </c>
      <c r="C470" s="74" t="s">
        <v>132</v>
      </c>
      <c r="D470" s="74" t="s">
        <v>144</v>
      </c>
      <c r="E470" s="171"/>
      <c r="F470" s="95">
        <v>30000</v>
      </c>
      <c r="G470" s="62">
        <f>F470</f>
        <v>30000</v>
      </c>
    </row>
    <row r="471" spans="1:7" ht="28.5">
      <c r="A471" s="171"/>
      <c r="B471" s="85" t="s">
        <v>538</v>
      </c>
      <c r="C471" s="74" t="s">
        <v>132</v>
      </c>
      <c r="D471" s="74" t="s">
        <v>144</v>
      </c>
      <c r="E471" s="171"/>
      <c r="F471" s="95">
        <v>2200</v>
      </c>
      <c r="G471" s="62">
        <f>F471</f>
        <v>2200</v>
      </c>
    </row>
    <row r="472" spans="1:7" ht="15.75">
      <c r="A472" s="171">
        <v>4</v>
      </c>
      <c r="B472" s="155" t="s">
        <v>37</v>
      </c>
      <c r="C472" s="76"/>
      <c r="D472" s="60"/>
      <c r="E472" s="171"/>
      <c r="F472" s="60"/>
      <c r="G472" s="171"/>
    </row>
    <row r="473" spans="1:7" ht="39">
      <c r="A473" s="171"/>
      <c r="B473" s="89" t="s">
        <v>539</v>
      </c>
      <c r="C473" s="74" t="s">
        <v>160</v>
      </c>
      <c r="D473" s="74" t="s">
        <v>156</v>
      </c>
      <c r="E473" s="171"/>
      <c r="F473" s="60">
        <v>100</v>
      </c>
      <c r="G473" s="62">
        <f>F473</f>
        <v>100</v>
      </c>
    </row>
    <row r="474" spans="1:7" ht="33.75" customHeight="1">
      <c r="A474" s="171"/>
      <c r="B474" s="221" t="s">
        <v>961</v>
      </c>
      <c r="C474" s="214"/>
      <c r="D474" s="87"/>
      <c r="E474" s="171"/>
      <c r="F474" s="171"/>
      <c r="G474" s="62"/>
    </row>
    <row r="475" spans="1:7" ht="15.75">
      <c r="A475" s="171">
        <v>1</v>
      </c>
      <c r="B475" s="155" t="s">
        <v>34</v>
      </c>
      <c r="C475" s="76"/>
      <c r="D475" s="87"/>
      <c r="E475" s="171"/>
      <c r="F475" s="171"/>
      <c r="G475" s="62"/>
    </row>
    <row r="476" spans="1:7" ht="26.25">
      <c r="A476" s="171"/>
      <c r="B476" s="89" t="s">
        <v>540</v>
      </c>
      <c r="C476" s="87" t="s">
        <v>127</v>
      </c>
      <c r="D476" s="87" t="s">
        <v>286</v>
      </c>
      <c r="E476" s="171"/>
      <c r="F476" s="90">
        <f>965000</f>
        <v>965000</v>
      </c>
      <c r="G476" s="62">
        <f>F476</f>
        <v>965000</v>
      </c>
    </row>
    <row r="477" spans="1:7" ht="15.75">
      <c r="A477" s="171">
        <v>2</v>
      </c>
      <c r="B477" s="155" t="s">
        <v>35</v>
      </c>
      <c r="C477" s="76"/>
      <c r="D477" s="87"/>
      <c r="E477" s="171"/>
      <c r="F477" s="60"/>
      <c r="G477" s="62"/>
    </row>
    <row r="478" spans="1:7" ht="26.25">
      <c r="A478" s="171"/>
      <c r="B478" s="89" t="s">
        <v>288</v>
      </c>
      <c r="C478" s="74" t="s">
        <v>287</v>
      </c>
      <c r="D478" s="74" t="s">
        <v>148</v>
      </c>
      <c r="E478" s="171"/>
      <c r="F478" s="60">
        <v>1235</v>
      </c>
      <c r="G478" s="62">
        <f>F478</f>
        <v>1235</v>
      </c>
    </row>
    <row r="479" spans="1:7" ht="15.75">
      <c r="A479" s="171">
        <v>3</v>
      </c>
      <c r="B479" s="155" t="s">
        <v>36</v>
      </c>
      <c r="C479" s="76"/>
      <c r="D479" s="87"/>
      <c r="E479" s="171"/>
      <c r="F479" s="60"/>
      <c r="G479" s="62"/>
    </row>
    <row r="480" spans="1:7" ht="29.25">
      <c r="A480" s="171"/>
      <c r="B480" s="89" t="s">
        <v>541</v>
      </c>
      <c r="C480" s="74" t="s">
        <v>132</v>
      </c>
      <c r="D480" s="74" t="s">
        <v>144</v>
      </c>
      <c r="E480" s="171"/>
      <c r="F480" s="60">
        <v>781.38</v>
      </c>
      <c r="G480" s="59">
        <f>F480</f>
        <v>781.38</v>
      </c>
    </row>
    <row r="481" spans="1:7" ht="15.75">
      <c r="A481" s="171">
        <v>4</v>
      </c>
      <c r="B481" s="155" t="s">
        <v>37</v>
      </c>
      <c r="C481" s="76"/>
      <c r="D481" s="87"/>
      <c r="E481" s="171"/>
      <c r="F481" s="60"/>
      <c r="G481" s="62"/>
    </row>
    <row r="482" spans="1:7" ht="39">
      <c r="A482" s="171"/>
      <c r="B482" s="89" t="s">
        <v>542</v>
      </c>
      <c r="C482" s="87" t="s">
        <v>160</v>
      </c>
      <c r="D482" s="87" t="s">
        <v>156</v>
      </c>
      <c r="E482" s="171"/>
      <c r="F482" s="60">
        <v>100</v>
      </c>
      <c r="G482" s="62">
        <f>F482</f>
        <v>100</v>
      </c>
    </row>
    <row r="483" spans="1:7" ht="38.25" customHeight="1">
      <c r="A483" s="171"/>
      <c r="B483" s="209" t="s">
        <v>962</v>
      </c>
      <c r="C483" s="210"/>
      <c r="D483" s="60"/>
      <c r="E483" s="171"/>
      <c r="F483" s="60"/>
      <c r="G483" s="62"/>
    </row>
    <row r="484" spans="1:7" ht="15.75">
      <c r="A484" s="171">
        <v>1</v>
      </c>
      <c r="B484" s="155" t="s">
        <v>34</v>
      </c>
      <c r="C484" s="76"/>
      <c r="D484" s="60"/>
      <c r="E484" s="171"/>
      <c r="F484" s="60"/>
      <c r="G484" s="62"/>
    </row>
    <row r="485" spans="1:7" ht="38.25">
      <c r="A485" s="171"/>
      <c r="B485" s="85" t="s">
        <v>543</v>
      </c>
      <c r="C485" s="74" t="s">
        <v>127</v>
      </c>
      <c r="D485" s="92" t="s">
        <v>286</v>
      </c>
      <c r="E485" s="171"/>
      <c r="F485" s="90">
        <f>600000-12422</f>
        <v>587578</v>
      </c>
      <c r="G485" s="62">
        <f>F485</f>
        <v>587578</v>
      </c>
    </row>
    <row r="486" spans="1:7" ht="15.75">
      <c r="A486" s="171">
        <v>2</v>
      </c>
      <c r="B486" s="155" t="s">
        <v>35</v>
      </c>
      <c r="C486" s="76"/>
      <c r="D486" s="60"/>
      <c r="E486" s="171"/>
      <c r="F486" s="60"/>
      <c r="G486" s="62"/>
    </row>
    <row r="487" spans="1:7" ht="38.25">
      <c r="A487" s="171"/>
      <c r="B487" s="85" t="s">
        <v>289</v>
      </c>
      <c r="C487" s="74" t="s">
        <v>287</v>
      </c>
      <c r="D487" s="74" t="s">
        <v>148</v>
      </c>
      <c r="E487" s="171"/>
      <c r="F487" s="60">
        <v>880</v>
      </c>
      <c r="G487" s="62">
        <f>F487</f>
        <v>880</v>
      </c>
    </row>
    <row r="488" spans="1:7" ht="15.75">
      <c r="A488" s="171">
        <v>3</v>
      </c>
      <c r="B488" s="155" t="s">
        <v>36</v>
      </c>
      <c r="C488" s="76"/>
      <c r="D488" s="60"/>
      <c r="E488" s="171"/>
      <c r="F488" s="60"/>
      <c r="G488" s="62"/>
    </row>
    <row r="489" spans="1:7" ht="41.25">
      <c r="A489" s="171"/>
      <c r="B489" s="85" t="s">
        <v>290</v>
      </c>
      <c r="C489" s="74" t="s">
        <v>132</v>
      </c>
      <c r="D489" s="74" t="s">
        <v>156</v>
      </c>
      <c r="E489" s="171"/>
      <c r="F489" s="96">
        <f>F485/F487</f>
        <v>667.70227272727277</v>
      </c>
      <c r="G489" s="59">
        <f>F489</f>
        <v>667.70227272727277</v>
      </c>
    </row>
    <row r="490" spans="1:7" ht="15.75">
      <c r="A490" s="171">
        <v>4</v>
      </c>
      <c r="B490" s="155" t="s">
        <v>37</v>
      </c>
      <c r="C490" s="76"/>
      <c r="D490" s="60"/>
      <c r="E490" s="171"/>
      <c r="F490" s="60"/>
      <c r="G490" s="62"/>
    </row>
    <row r="491" spans="1:7" ht="38.25">
      <c r="A491" s="171"/>
      <c r="B491" s="85" t="s">
        <v>544</v>
      </c>
      <c r="C491" s="74" t="s">
        <v>160</v>
      </c>
      <c r="D491" s="74" t="s">
        <v>156</v>
      </c>
      <c r="E491" s="171"/>
      <c r="F491" s="60">
        <v>100</v>
      </c>
      <c r="G491" s="62">
        <f>F491</f>
        <v>100</v>
      </c>
    </row>
    <row r="492" spans="1:7" ht="35.25" customHeight="1">
      <c r="A492" s="171"/>
      <c r="B492" s="209" t="s">
        <v>963</v>
      </c>
      <c r="C492" s="210"/>
      <c r="D492" s="60"/>
      <c r="E492" s="171"/>
      <c r="F492" s="60"/>
      <c r="G492" s="62"/>
    </row>
    <row r="493" spans="1:7" ht="15.75">
      <c r="A493" s="171">
        <v>1</v>
      </c>
      <c r="B493" s="155" t="s">
        <v>34</v>
      </c>
      <c r="C493" s="76"/>
      <c r="D493" s="60"/>
      <c r="E493" s="171"/>
      <c r="F493" s="60"/>
      <c r="G493" s="62"/>
    </row>
    <row r="494" spans="1:7" ht="25.5">
      <c r="A494" s="171"/>
      <c r="B494" s="85" t="s">
        <v>545</v>
      </c>
      <c r="C494" s="74" t="s">
        <v>127</v>
      </c>
      <c r="D494" s="87" t="s">
        <v>286</v>
      </c>
      <c r="E494" s="171"/>
      <c r="F494" s="90">
        <v>700000</v>
      </c>
      <c r="G494" s="62">
        <f>F494</f>
        <v>700000</v>
      </c>
    </row>
    <row r="495" spans="1:7" ht="15.75">
      <c r="A495" s="171">
        <v>2</v>
      </c>
      <c r="B495" s="155" t="s">
        <v>35</v>
      </c>
      <c r="C495" s="76"/>
      <c r="D495" s="60"/>
      <c r="E495" s="171"/>
      <c r="F495" s="60"/>
      <c r="G495" s="62"/>
    </row>
    <row r="496" spans="1:7" ht="25.5">
      <c r="A496" s="171"/>
      <c r="B496" s="85" t="s">
        <v>291</v>
      </c>
      <c r="C496" s="74" t="s">
        <v>287</v>
      </c>
      <c r="D496" s="87" t="s">
        <v>148</v>
      </c>
      <c r="E496" s="171"/>
      <c r="F496" s="60">
        <v>875</v>
      </c>
      <c r="G496" s="62">
        <f>F496</f>
        <v>875</v>
      </c>
    </row>
    <row r="497" spans="1:7" ht="15.75">
      <c r="A497" s="171">
        <v>3</v>
      </c>
      <c r="B497" s="155" t="s">
        <v>36</v>
      </c>
      <c r="C497" s="76"/>
      <c r="D497" s="60"/>
      <c r="E497" s="171"/>
      <c r="F497" s="60"/>
      <c r="G497" s="62"/>
    </row>
    <row r="498" spans="1:7" ht="28.5">
      <c r="A498" s="171"/>
      <c r="B498" s="85" t="s">
        <v>292</v>
      </c>
      <c r="C498" s="74" t="s">
        <v>132</v>
      </c>
      <c r="D498" s="87" t="s">
        <v>144</v>
      </c>
      <c r="E498" s="171"/>
      <c r="F498" s="60">
        <v>800</v>
      </c>
      <c r="G498" s="62">
        <f>F498</f>
        <v>800</v>
      </c>
    </row>
    <row r="499" spans="1:7" ht="15.75">
      <c r="A499" s="171">
        <v>4</v>
      </c>
      <c r="B499" s="155" t="s">
        <v>37</v>
      </c>
      <c r="C499" s="76"/>
      <c r="D499" s="60"/>
      <c r="E499" s="171"/>
      <c r="F499" s="60"/>
      <c r="G499" s="62"/>
    </row>
    <row r="500" spans="1:7" ht="38.25">
      <c r="A500" s="171"/>
      <c r="B500" s="85" t="s">
        <v>293</v>
      </c>
      <c r="C500" s="74" t="s">
        <v>160</v>
      </c>
      <c r="D500" s="87" t="s">
        <v>156</v>
      </c>
      <c r="E500" s="171"/>
      <c r="F500" s="60">
        <v>100</v>
      </c>
      <c r="G500" s="62">
        <f>F500</f>
        <v>100</v>
      </c>
    </row>
    <row r="501" spans="1:7" ht="30.75" customHeight="1">
      <c r="A501" s="171"/>
      <c r="B501" s="213" t="s">
        <v>964</v>
      </c>
      <c r="C501" s="214"/>
      <c r="D501" s="60"/>
      <c r="E501" s="171"/>
      <c r="F501" s="60"/>
      <c r="G501" s="62"/>
    </row>
    <row r="502" spans="1:7" ht="15.75">
      <c r="A502" s="171">
        <v>1</v>
      </c>
      <c r="B502" s="155" t="s">
        <v>34</v>
      </c>
      <c r="C502" s="76"/>
      <c r="D502" s="60"/>
      <c r="E502" s="171"/>
      <c r="F502" s="60"/>
      <c r="G502" s="62"/>
    </row>
    <row r="503" spans="1:7" ht="26.25">
      <c r="A503" s="171"/>
      <c r="B503" s="89" t="s">
        <v>546</v>
      </c>
      <c r="C503" s="74" t="s">
        <v>127</v>
      </c>
      <c r="D503" s="74" t="s">
        <v>286</v>
      </c>
      <c r="E503" s="171"/>
      <c r="F503" s="90">
        <f>600000-33000</f>
        <v>567000</v>
      </c>
      <c r="G503" s="62">
        <f>F503</f>
        <v>567000</v>
      </c>
    </row>
    <row r="504" spans="1:7" ht="15.75">
      <c r="A504" s="171">
        <v>2</v>
      </c>
      <c r="B504" s="155" t="s">
        <v>35</v>
      </c>
      <c r="C504" s="76"/>
      <c r="D504" s="60"/>
      <c r="E504" s="171"/>
      <c r="F504" s="60"/>
      <c r="G504" s="62"/>
    </row>
    <row r="505" spans="1:7" ht="26.25">
      <c r="A505" s="171"/>
      <c r="B505" s="89" t="s">
        <v>294</v>
      </c>
      <c r="C505" s="74" t="s">
        <v>287</v>
      </c>
      <c r="D505" s="74" t="s">
        <v>148</v>
      </c>
      <c r="E505" s="171"/>
      <c r="F505" s="60">
        <v>641.52</v>
      </c>
      <c r="G505" s="59">
        <f>F505</f>
        <v>641.52</v>
      </c>
    </row>
    <row r="506" spans="1:7" ht="15.75">
      <c r="A506" s="171">
        <v>3</v>
      </c>
      <c r="B506" s="155" t="s">
        <v>36</v>
      </c>
      <c r="C506" s="76"/>
      <c r="D506" s="60"/>
      <c r="E506" s="171"/>
      <c r="F506" s="60"/>
      <c r="G506" s="62"/>
    </row>
    <row r="507" spans="1:7" ht="29.25">
      <c r="A507" s="171"/>
      <c r="B507" s="89" t="s">
        <v>295</v>
      </c>
      <c r="C507" s="74" t="s">
        <v>132</v>
      </c>
      <c r="D507" s="74" t="s">
        <v>144</v>
      </c>
      <c r="E507" s="171"/>
      <c r="F507" s="96">
        <f>F503/F505</f>
        <v>883.83838383838383</v>
      </c>
      <c r="G507" s="83">
        <f>F507</f>
        <v>883.83838383838383</v>
      </c>
    </row>
    <row r="508" spans="1:7" ht="15.75">
      <c r="A508" s="171">
        <v>4</v>
      </c>
      <c r="B508" s="155" t="s">
        <v>37</v>
      </c>
      <c r="C508" s="76"/>
      <c r="D508" s="60"/>
      <c r="E508" s="171"/>
      <c r="F508" s="60"/>
      <c r="G508" s="62"/>
    </row>
    <row r="509" spans="1:7" ht="26.25">
      <c r="A509" s="171"/>
      <c r="B509" s="89" t="s">
        <v>296</v>
      </c>
      <c r="C509" s="74" t="s">
        <v>160</v>
      </c>
      <c r="D509" s="74" t="s">
        <v>156</v>
      </c>
      <c r="E509" s="171"/>
      <c r="F509" s="60">
        <v>100</v>
      </c>
      <c r="G509" s="62">
        <f>F509</f>
        <v>100</v>
      </c>
    </row>
    <row r="510" spans="1:7" ht="34.5" customHeight="1">
      <c r="A510" s="171"/>
      <c r="B510" s="209" t="s">
        <v>965</v>
      </c>
      <c r="C510" s="222"/>
      <c r="D510" s="87"/>
      <c r="E510" s="171"/>
      <c r="F510" s="60"/>
      <c r="G510" s="62"/>
    </row>
    <row r="511" spans="1:7" ht="15.75">
      <c r="A511" s="171">
        <v>1</v>
      </c>
      <c r="B511" s="155" t="s">
        <v>34</v>
      </c>
      <c r="C511" s="76"/>
      <c r="D511" s="60"/>
      <c r="E511" s="171"/>
      <c r="F511" s="60"/>
      <c r="G511" s="62"/>
    </row>
    <row r="512" spans="1:7" ht="38.25">
      <c r="A512" s="171"/>
      <c r="B512" s="85" t="s">
        <v>547</v>
      </c>
      <c r="C512" s="87" t="s">
        <v>127</v>
      </c>
      <c r="D512" s="74" t="s">
        <v>286</v>
      </c>
      <c r="E512" s="171"/>
      <c r="F512" s="90">
        <f>418000-469</f>
        <v>417531</v>
      </c>
      <c r="G512" s="62">
        <f>F512</f>
        <v>417531</v>
      </c>
    </row>
    <row r="513" spans="1:7" ht="15.75">
      <c r="A513" s="171">
        <v>2</v>
      </c>
      <c r="B513" s="155" t="s">
        <v>35</v>
      </c>
      <c r="C513" s="76"/>
      <c r="D513" s="60"/>
      <c r="E513" s="171"/>
      <c r="F513" s="60"/>
      <c r="G513" s="62"/>
    </row>
    <row r="514" spans="1:7" ht="39">
      <c r="A514" s="171"/>
      <c r="B514" s="89" t="s">
        <v>459</v>
      </c>
      <c r="C514" s="87" t="s">
        <v>287</v>
      </c>
      <c r="D514" s="87" t="s">
        <v>148</v>
      </c>
      <c r="E514" s="171"/>
      <c r="F514" s="60">
        <v>740</v>
      </c>
      <c r="G514" s="62">
        <f>F514</f>
        <v>740</v>
      </c>
    </row>
    <row r="515" spans="1:7" ht="15.75">
      <c r="A515" s="171">
        <v>3</v>
      </c>
      <c r="B515" s="155" t="s">
        <v>36</v>
      </c>
      <c r="C515" s="76"/>
      <c r="D515" s="60"/>
      <c r="E515" s="171"/>
      <c r="F515" s="60"/>
      <c r="G515" s="62"/>
    </row>
    <row r="516" spans="1:7" ht="42">
      <c r="A516" s="171"/>
      <c r="B516" s="89" t="s">
        <v>460</v>
      </c>
      <c r="C516" s="87" t="s">
        <v>132</v>
      </c>
      <c r="D516" s="87" t="s">
        <v>144</v>
      </c>
      <c r="E516" s="171"/>
      <c r="F516" s="93">
        <f>F512/F514</f>
        <v>564.23108108108113</v>
      </c>
      <c r="G516" s="94">
        <f>F516</f>
        <v>564.23108108108113</v>
      </c>
    </row>
    <row r="517" spans="1:7" ht="15.75">
      <c r="A517" s="171">
        <v>4</v>
      </c>
      <c r="B517" s="155" t="s">
        <v>37</v>
      </c>
      <c r="C517" s="76"/>
      <c r="D517" s="60"/>
      <c r="E517" s="171"/>
      <c r="F517" s="60"/>
      <c r="G517" s="62"/>
    </row>
    <row r="518" spans="1:7" ht="39">
      <c r="A518" s="171"/>
      <c r="B518" s="89" t="s">
        <v>548</v>
      </c>
      <c r="C518" s="87" t="s">
        <v>160</v>
      </c>
      <c r="D518" s="87" t="s">
        <v>156</v>
      </c>
      <c r="E518" s="171"/>
      <c r="F518" s="60">
        <v>100</v>
      </c>
      <c r="G518" s="62">
        <f>F518</f>
        <v>100</v>
      </c>
    </row>
    <row r="519" spans="1:7" ht="34.5" customHeight="1">
      <c r="A519" s="171"/>
      <c r="B519" s="213" t="s">
        <v>966</v>
      </c>
      <c r="C519" s="214"/>
      <c r="D519" s="60"/>
      <c r="E519" s="171"/>
      <c r="F519" s="60"/>
      <c r="G519" s="62"/>
    </row>
    <row r="520" spans="1:7" ht="15.75">
      <c r="A520" s="171">
        <v>1</v>
      </c>
      <c r="B520" s="155" t="s">
        <v>34</v>
      </c>
      <c r="C520" s="76"/>
      <c r="D520" s="60"/>
      <c r="E520" s="171"/>
      <c r="F520" s="60"/>
      <c r="G520" s="62"/>
    </row>
    <row r="521" spans="1:7" ht="39">
      <c r="A521" s="171"/>
      <c r="B521" s="89" t="s">
        <v>549</v>
      </c>
      <c r="C521" s="74" t="s">
        <v>127</v>
      </c>
      <c r="D521" s="74" t="s">
        <v>286</v>
      </c>
      <c r="E521" s="171"/>
      <c r="F521" s="90">
        <v>1180000</v>
      </c>
      <c r="G521" s="62">
        <f>F521</f>
        <v>1180000</v>
      </c>
    </row>
    <row r="522" spans="1:7" ht="15.75">
      <c r="A522" s="171">
        <v>2</v>
      </c>
      <c r="B522" s="155" t="s">
        <v>35</v>
      </c>
      <c r="C522" s="76"/>
      <c r="D522" s="60"/>
      <c r="E522" s="171"/>
      <c r="F522" s="90"/>
      <c r="G522" s="62"/>
    </row>
    <row r="523" spans="1:7" ht="39">
      <c r="A523" s="171"/>
      <c r="B523" s="89" t="s">
        <v>461</v>
      </c>
      <c r="C523" s="74" t="s">
        <v>287</v>
      </c>
      <c r="D523" s="74" t="s">
        <v>148</v>
      </c>
      <c r="E523" s="171"/>
      <c r="F523" s="90">
        <v>1300</v>
      </c>
      <c r="G523" s="62">
        <f>F523</f>
        <v>1300</v>
      </c>
    </row>
    <row r="524" spans="1:7" ht="15.75">
      <c r="A524" s="171">
        <v>3</v>
      </c>
      <c r="B524" s="155" t="s">
        <v>36</v>
      </c>
      <c r="C524" s="76"/>
      <c r="D524" s="60"/>
      <c r="E524" s="171"/>
      <c r="F524" s="60"/>
      <c r="G524" s="62"/>
    </row>
    <row r="525" spans="1:7" ht="42">
      <c r="A525" s="171"/>
      <c r="B525" s="89" t="s">
        <v>463</v>
      </c>
      <c r="C525" s="74" t="s">
        <v>132</v>
      </c>
      <c r="D525" s="74" t="s">
        <v>144</v>
      </c>
      <c r="E525" s="171"/>
      <c r="F525" s="96">
        <v>907.69230769230774</v>
      </c>
      <c r="G525" s="83">
        <f>F525</f>
        <v>907.69230769230774</v>
      </c>
    </row>
    <row r="526" spans="1:7" ht="15.75">
      <c r="A526" s="171">
        <v>4</v>
      </c>
      <c r="B526" s="155" t="s">
        <v>37</v>
      </c>
      <c r="C526" s="87"/>
      <c r="D526" s="87"/>
      <c r="E526" s="171"/>
      <c r="F526" s="60"/>
      <c r="G526" s="62"/>
    </row>
    <row r="527" spans="1:7" ht="39">
      <c r="A527" s="171"/>
      <c r="B527" s="89" t="s">
        <v>550</v>
      </c>
      <c r="C527" s="87" t="s">
        <v>160</v>
      </c>
      <c r="D527" s="87" t="s">
        <v>156</v>
      </c>
      <c r="E527" s="171"/>
      <c r="F527" s="60">
        <v>100</v>
      </c>
      <c r="G527" s="62">
        <f>F527</f>
        <v>100</v>
      </c>
    </row>
    <row r="528" spans="1:7" ht="42.75" customHeight="1">
      <c r="A528" s="171"/>
      <c r="B528" s="213" t="s">
        <v>967</v>
      </c>
      <c r="C528" s="214"/>
      <c r="D528" s="60"/>
      <c r="E528" s="171"/>
      <c r="F528" s="60"/>
      <c r="G528" s="62"/>
    </row>
    <row r="529" spans="1:7" ht="15.75">
      <c r="A529" s="171">
        <v>1</v>
      </c>
      <c r="B529" s="155" t="s">
        <v>34</v>
      </c>
      <c r="C529" s="76"/>
      <c r="D529" s="60"/>
      <c r="E529" s="171"/>
      <c r="F529" s="60"/>
      <c r="G529" s="62"/>
    </row>
    <row r="530" spans="1:7" ht="39">
      <c r="A530" s="171"/>
      <c r="B530" s="89" t="s">
        <v>551</v>
      </c>
      <c r="C530" s="74" t="s">
        <v>127</v>
      </c>
      <c r="D530" s="74" t="s">
        <v>286</v>
      </c>
      <c r="E530" s="171"/>
      <c r="F530" s="90">
        <v>1141500</v>
      </c>
      <c r="G530" s="59">
        <f>F530</f>
        <v>1141500</v>
      </c>
    </row>
    <row r="531" spans="1:7" ht="15.75">
      <c r="A531" s="171">
        <v>2</v>
      </c>
      <c r="B531" s="155" t="s">
        <v>35</v>
      </c>
      <c r="C531" s="76"/>
      <c r="D531" s="60"/>
      <c r="E531" s="171"/>
      <c r="F531" s="90"/>
      <c r="G531" s="59"/>
    </row>
    <row r="532" spans="1:7" ht="39">
      <c r="A532" s="171"/>
      <c r="B532" s="89" t="s">
        <v>466</v>
      </c>
      <c r="C532" s="74" t="s">
        <v>287</v>
      </c>
      <c r="D532" s="74" t="s">
        <v>148</v>
      </c>
      <c r="E532" s="171"/>
      <c r="F532" s="90">
        <v>1268.3333333333333</v>
      </c>
      <c r="G532" s="59">
        <f>F532</f>
        <v>1268.3333333333333</v>
      </c>
    </row>
    <row r="533" spans="1:7" ht="15.75">
      <c r="A533" s="171">
        <v>3</v>
      </c>
      <c r="B533" s="155" t="s">
        <v>36</v>
      </c>
      <c r="C533" s="76"/>
      <c r="D533" s="60"/>
      <c r="E533" s="171"/>
      <c r="F533" s="60"/>
      <c r="G533" s="62"/>
    </row>
    <row r="534" spans="1:7" ht="42">
      <c r="A534" s="171"/>
      <c r="B534" s="89" t="s">
        <v>467</v>
      </c>
      <c r="C534" s="74" t="s">
        <v>132</v>
      </c>
      <c r="D534" s="74" t="s">
        <v>144</v>
      </c>
      <c r="E534" s="171"/>
      <c r="F534" s="60">
        <v>900</v>
      </c>
      <c r="G534" s="62">
        <f>F534</f>
        <v>900</v>
      </c>
    </row>
    <row r="535" spans="1:7" ht="15.75">
      <c r="A535" s="171">
        <v>4</v>
      </c>
      <c r="B535" s="155" t="s">
        <v>37</v>
      </c>
      <c r="C535" s="87"/>
      <c r="D535" s="87"/>
      <c r="E535" s="171"/>
      <c r="F535" s="60"/>
      <c r="G535" s="62"/>
    </row>
    <row r="536" spans="1:7" ht="38.25">
      <c r="A536" s="171"/>
      <c r="B536" s="85" t="s">
        <v>552</v>
      </c>
      <c r="C536" s="87" t="s">
        <v>160</v>
      </c>
      <c r="D536" s="87" t="s">
        <v>156</v>
      </c>
      <c r="E536" s="171"/>
      <c r="F536" s="60">
        <v>100</v>
      </c>
      <c r="G536" s="62">
        <f>F536</f>
        <v>100</v>
      </c>
    </row>
    <row r="537" spans="1:7" ht="38.25" customHeight="1">
      <c r="A537" s="171"/>
      <c r="B537" s="209" t="s">
        <v>968</v>
      </c>
      <c r="C537" s="210"/>
      <c r="D537" s="60"/>
      <c r="E537" s="171"/>
      <c r="F537" s="60"/>
      <c r="G537" s="62"/>
    </row>
    <row r="538" spans="1:7" ht="15.75">
      <c r="A538" s="171">
        <v>1</v>
      </c>
      <c r="B538" s="155" t="s">
        <v>34</v>
      </c>
      <c r="C538" s="76"/>
      <c r="D538" s="60"/>
      <c r="E538" s="171"/>
      <c r="F538" s="60"/>
      <c r="G538" s="62"/>
    </row>
    <row r="539" spans="1:7" ht="38.25">
      <c r="A539" s="171"/>
      <c r="B539" s="85" t="s">
        <v>558</v>
      </c>
      <c r="C539" s="74" t="s">
        <v>127</v>
      </c>
      <c r="D539" s="87" t="s">
        <v>553</v>
      </c>
      <c r="E539" s="171"/>
      <c r="F539" s="90">
        <f>100000+1000000</f>
        <v>1100000</v>
      </c>
      <c r="G539" s="62">
        <f>F539</f>
        <v>1100000</v>
      </c>
    </row>
    <row r="540" spans="1:7" ht="15.75">
      <c r="A540" s="171">
        <v>2</v>
      </c>
      <c r="B540" s="155" t="s">
        <v>35</v>
      </c>
      <c r="C540" s="76"/>
      <c r="D540" s="60"/>
      <c r="E540" s="171"/>
      <c r="F540" s="60"/>
      <c r="G540" s="62"/>
    </row>
    <row r="541" spans="1:7" ht="25.5">
      <c r="A541" s="171"/>
      <c r="B541" s="85" t="s">
        <v>554</v>
      </c>
      <c r="C541" s="74" t="s">
        <v>141</v>
      </c>
      <c r="D541" s="87" t="s">
        <v>148</v>
      </c>
      <c r="E541" s="171"/>
      <c r="F541" s="60">
        <v>1</v>
      </c>
      <c r="G541" s="62">
        <f>F541</f>
        <v>1</v>
      </c>
    </row>
    <row r="542" spans="1:7" ht="25.5">
      <c r="A542" s="171"/>
      <c r="B542" s="85" t="s">
        <v>555</v>
      </c>
      <c r="C542" s="74" t="s">
        <v>287</v>
      </c>
      <c r="D542" s="87" t="s">
        <v>148</v>
      </c>
      <c r="E542" s="171"/>
      <c r="F542" s="96">
        <f>(F539-F544)/F545</f>
        <v>486.36363636363637</v>
      </c>
      <c r="G542" s="59">
        <f>F542</f>
        <v>486.36363636363637</v>
      </c>
    </row>
    <row r="543" spans="1:7" ht="15.75">
      <c r="A543" s="171">
        <v>3</v>
      </c>
      <c r="B543" s="155" t="s">
        <v>36</v>
      </c>
      <c r="C543" s="76"/>
      <c r="D543" s="87"/>
      <c r="E543" s="171"/>
      <c r="F543" s="60"/>
      <c r="G543" s="62"/>
    </row>
    <row r="544" spans="1:7" ht="25.5">
      <c r="A544" s="171"/>
      <c r="B544" s="85" t="s">
        <v>556</v>
      </c>
      <c r="C544" s="74" t="s">
        <v>132</v>
      </c>
      <c r="D544" s="87" t="s">
        <v>144</v>
      </c>
      <c r="E544" s="171"/>
      <c r="F544" s="90">
        <v>30000</v>
      </c>
      <c r="G544" s="62">
        <f>F544</f>
        <v>30000</v>
      </c>
    </row>
    <row r="545" spans="1:7" ht="28.5">
      <c r="A545" s="171"/>
      <c r="B545" s="85" t="s">
        <v>557</v>
      </c>
      <c r="C545" s="74" t="s">
        <v>132</v>
      </c>
      <c r="D545" s="87" t="s">
        <v>144</v>
      </c>
      <c r="E545" s="171"/>
      <c r="F545" s="90">
        <v>2200</v>
      </c>
      <c r="G545" s="62">
        <f>F545</f>
        <v>2200</v>
      </c>
    </row>
    <row r="546" spans="1:7" ht="15.75">
      <c r="A546" s="171">
        <v>4</v>
      </c>
      <c r="B546" s="155" t="s">
        <v>37</v>
      </c>
      <c r="C546" s="76"/>
      <c r="D546" s="87"/>
      <c r="E546" s="171"/>
      <c r="F546" s="60"/>
      <c r="G546" s="62"/>
    </row>
    <row r="547" spans="1:7" ht="38.25">
      <c r="A547" s="171"/>
      <c r="B547" s="85" t="s">
        <v>851</v>
      </c>
      <c r="C547" s="74" t="s">
        <v>160</v>
      </c>
      <c r="D547" s="87" t="s">
        <v>144</v>
      </c>
      <c r="E547" s="171"/>
      <c r="F547" s="60">
        <v>100</v>
      </c>
      <c r="G547" s="62">
        <f>F547</f>
        <v>100</v>
      </c>
    </row>
    <row r="548" spans="1:7" ht="29.25" customHeight="1">
      <c r="A548" s="171"/>
      <c r="B548" s="219" t="s">
        <v>969</v>
      </c>
      <c r="C548" s="220"/>
      <c r="D548" s="87"/>
      <c r="E548" s="171"/>
      <c r="F548" s="60"/>
      <c r="G548" s="62"/>
    </row>
    <row r="549" spans="1:7" ht="21.75" customHeight="1">
      <c r="A549" s="171">
        <v>1</v>
      </c>
      <c r="B549" s="155" t="s">
        <v>34</v>
      </c>
      <c r="C549" s="76"/>
      <c r="D549" s="60"/>
      <c r="E549" s="171"/>
      <c r="F549" s="60"/>
      <c r="G549" s="62"/>
    </row>
    <row r="550" spans="1:7" ht="31.5" customHeight="1">
      <c r="A550" s="171"/>
      <c r="B550" s="85" t="s">
        <v>559</v>
      </c>
      <c r="C550" s="74" t="s">
        <v>127</v>
      </c>
      <c r="D550" s="74" t="s">
        <v>286</v>
      </c>
      <c r="E550" s="171"/>
      <c r="F550" s="95">
        <v>2000000</v>
      </c>
      <c r="G550" s="62">
        <f>F550</f>
        <v>2000000</v>
      </c>
    </row>
    <row r="551" spans="1:7" ht="24" customHeight="1">
      <c r="A551" s="171">
        <v>2</v>
      </c>
      <c r="B551" s="155" t="s">
        <v>35</v>
      </c>
      <c r="C551" s="76"/>
      <c r="D551" s="60"/>
      <c r="E551" s="171"/>
      <c r="F551" s="60"/>
      <c r="G551" s="62"/>
    </row>
    <row r="552" spans="1:7" ht="39" customHeight="1">
      <c r="A552" s="171"/>
      <c r="B552" s="85" t="s">
        <v>563</v>
      </c>
      <c r="C552" s="74" t="s">
        <v>141</v>
      </c>
      <c r="D552" s="87" t="s">
        <v>148</v>
      </c>
      <c r="E552" s="171"/>
      <c r="F552" s="60">
        <v>1</v>
      </c>
      <c r="G552" s="62">
        <f>F552</f>
        <v>1</v>
      </c>
    </row>
    <row r="553" spans="1:7" ht="30.75" customHeight="1">
      <c r="A553" s="171"/>
      <c r="B553" s="85" t="s">
        <v>562</v>
      </c>
      <c r="C553" s="74" t="s">
        <v>287</v>
      </c>
      <c r="D553" s="87" t="s">
        <v>148</v>
      </c>
      <c r="E553" s="171"/>
      <c r="F553" s="99">
        <f>(F550-F555)/F556</f>
        <v>886.36363636363637</v>
      </c>
      <c r="G553" s="100">
        <f>F553</f>
        <v>886.36363636363637</v>
      </c>
    </row>
    <row r="554" spans="1:7" ht="18.75" customHeight="1">
      <c r="A554" s="171">
        <v>3</v>
      </c>
      <c r="B554" s="155" t="s">
        <v>36</v>
      </c>
      <c r="C554" s="76"/>
      <c r="D554" s="87"/>
      <c r="E554" s="171"/>
      <c r="F554" s="101"/>
      <c r="G554" s="102"/>
    </row>
    <row r="555" spans="1:7" ht="40.5" customHeight="1">
      <c r="A555" s="171"/>
      <c r="B555" s="85" t="s">
        <v>297</v>
      </c>
      <c r="C555" s="74" t="s">
        <v>132</v>
      </c>
      <c r="D555" s="87" t="s">
        <v>144</v>
      </c>
      <c r="E555" s="171"/>
      <c r="F555" s="103">
        <v>50000</v>
      </c>
      <c r="G555" s="102">
        <f>F555</f>
        <v>50000</v>
      </c>
    </row>
    <row r="556" spans="1:7" ht="29.25" customHeight="1">
      <c r="A556" s="171"/>
      <c r="B556" s="85" t="s">
        <v>561</v>
      </c>
      <c r="C556" s="74" t="s">
        <v>132</v>
      </c>
      <c r="D556" s="87" t="s">
        <v>144</v>
      </c>
      <c r="E556" s="171"/>
      <c r="F556" s="109">
        <v>2200</v>
      </c>
      <c r="G556" s="104">
        <f>F556</f>
        <v>2200</v>
      </c>
    </row>
    <row r="557" spans="1:7" ht="21" customHeight="1">
      <c r="A557" s="171">
        <v>4</v>
      </c>
      <c r="B557" s="155" t="s">
        <v>37</v>
      </c>
      <c r="C557" s="76"/>
      <c r="D557" s="87"/>
      <c r="E557" s="171"/>
      <c r="F557" s="60"/>
      <c r="G557" s="62"/>
    </row>
    <row r="558" spans="1:7" ht="33.75" customHeight="1">
      <c r="A558" s="171"/>
      <c r="B558" s="85" t="s">
        <v>560</v>
      </c>
      <c r="C558" s="74" t="s">
        <v>160</v>
      </c>
      <c r="D558" s="87" t="s">
        <v>144</v>
      </c>
      <c r="E558" s="171"/>
      <c r="F558" s="60">
        <v>100</v>
      </c>
      <c r="G558" s="62">
        <f>F558</f>
        <v>100</v>
      </c>
    </row>
    <row r="559" spans="1:7" ht="31.5" customHeight="1">
      <c r="A559" s="171"/>
      <c r="B559" s="219" t="s">
        <v>970</v>
      </c>
      <c r="C559" s="220"/>
      <c r="D559" s="87"/>
      <c r="E559" s="171"/>
      <c r="F559" s="60"/>
      <c r="G559" s="62"/>
    </row>
    <row r="560" spans="1:7" ht="20.25" customHeight="1">
      <c r="A560" s="171">
        <v>1</v>
      </c>
      <c r="B560" s="155" t="s">
        <v>34</v>
      </c>
      <c r="C560" s="76"/>
      <c r="D560" s="60"/>
      <c r="E560" s="171"/>
      <c r="F560" s="60"/>
      <c r="G560" s="62"/>
    </row>
    <row r="561" spans="1:7" ht="47.25" customHeight="1">
      <c r="A561" s="171"/>
      <c r="B561" s="85" t="s">
        <v>918</v>
      </c>
      <c r="C561" s="74" t="s">
        <v>127</v>
      </c>
      <c r="D561" s="74" t="s">
        <v>286</v>
      </c>
      <c r="E561" s="171"/>
      <c r="F561" s="95">
        <f>1000000-900000</f>
        <v>100000</v>
      </c>
      <c r="G561" s="62">
        <f>F561</f>
        <v>100000</v>
      </c>
    </row>
    <row r="562" spans="1:7" ht="18.75" customHeight="1">
      <c r="A562" s="171">
        <v>2</v>
      </c>
      <c r="B562" s="155" t="s">
        <v>35</v>
      </c>
      <c r="C562" s="76"/>
      <c r="D562" s="60"/>
      <c r="E562" s="171"/>
      <c r="F562" s="60"/>
      <c r="G562" s="62"/>
    </row>
    <row r="563" spans="1:7" ht="35.25" customHeight="1">
      <c r="A563" s="171"/>
      <c r="B563" s="85" t="s">
        <v>919</v>
      </c>
      <c r="C563" s="74" t="s">
        <v>287</v>
      </c>
      <c r="D563" s="87" t="s">
        <v>148</v>
      </c>
      <c r="E563" s="171"/>
      <c r="F563" s="96">
        <f>F561/F565</f>
        <v>46.511627906976742</v>
      </c>
      <c r="G563" s="59">
        <f>F563</f>
        <v>46.511627906976742</v>
      </c>
    </row>
    <row r="564" spans="1:7" ht="18.75" customHeight="1">
      <c r="A564" s="171">
        <v>3</v>
      </c>
      <c r="B564" s="155" t="s">
        <v>36</v>
      </c>
      <c r="C564" s="76"/>
      <c r="D564" s="60"/>
      <c r="E564" s="171"/>
      <c r="F564" s="101"/>
      <c r="G564" s="102"/>
    </row>
    <row r="565" spans="1:7" ht="40.5" customHeight="1">
      <c r="A565" s="171"/>
      <c r="B565" s="85" t="s">
        <v>920</v>
      </c>
      <c r="C565" s="74" t="s">
        <v>132</v>
      </c>
      <c r="D565" s="87" t="s">
        <v>144</v>
      </c>
      <c r="E565" s="171"/>
      <c r="F565" s="103">
        <v>2150</v>
      </c>
      <c r="G565" s="102">
        <f>F565</f>
        <v>2150</v>
      </c>
    </row>
    <row r="566" spans="1:7" ht="19.5" customHeight="1">
      <c r="A566" s="171">
        <v>4</v>
      </c>
      <c r="B566" s="155" t="s">
        <v>37</v>
      </c>
      <c r="C566" s="76"/>
      <c r="D566" s="60"/>
      <c r="E566" s="171"/>
      <c r="F566" s="60"/>
      <c r="G566" s="62"/>
    </row>
    <row r="567" spans="1:7" ht="38.25" customHeight="1">
      <c r="A567" s="171"/>
      <c r="B567" s="85" t="s">
        <v>921</v>
      </c>
      <c r="C567" s="74" t="s">
        <v>160</v>
      </c>
      <c r="D567" s="74" t="s">
        <v>156</v>
      </c>
      <c r="E567" s="171"/>
      <c r="F567" s="60">
        <v>100</v>
      </c>
      <c r="G567" s="62">
        <f>F567</f>
        <v>100</v>
      </c>
    </row>
    <row r="568" spans="1:7" ht="34.5" customHeight="1">
      <c r="A568" s="171"/>
      <c r="B568" s="209" t="s">
        <v>971</v>
      </c>
      <c r="C568" s="210"/>
      <c r="D568" s="60"/>
      <c r="E568" s="171"/>
      <c r="F568" s="60"/>
      <c r="G568" s="62"/>
    </row>
    <row r="569" spans="1:7" ht="20.100000000000001" customHeight="1">
      <c r="A569" s="171">
        <v>1</v>
      </c>
      <c r="B569" s="155" t="s">
        <v>34</v>
      </c>
      <c r="C569" s="76"/>
      <c r="D569" s="60"/>
      <c r="E569" s="171"/>
      <c r="F569" s="60"/>
      <c r="G569" s="62"/>
    </row>
    <row r="570" spans="1:7" ht="44.25" customHeight="1">
      <c r="A570" s="171"/>
      <c r="B570" s="85" t="s">
        <v>852</v>
      </c>
      <c r="C570" s="74" t="s">
        <v>127</v>
      </c>
      <c r="D570" s="87" t="s">
        <v>553</v>
      </c>
      <c r="E570" s="171"/>
      <c r="F570" s="90">
        <f>100000+240000-80000</f>
        <v>260000</v>
      </c>
      <c r="G570" s="62">
        <f>F570</f>
        <v>260000</v>
      </c>
    </row>
    <row r="571" spans="1:7" ht="20.100000000000001" customHeight="1">
      <c r="A571" s="171">
        <v>2</v>
      </c>
      <c r="B571" s="155" t="s">
        <v>35</v>
      </c>
      <c r="C571" s="76"/>
      <c r="D571" s="60"/>
      <c r="E571" s="171"/>
      <c r="F571" s="60"/>
      <c r="G571" s="62"/>
    </row>
    <row r="572" spans="1:7" ht="42" customHeight="1">
      <c r="A572" s="171"/>
      <c r="B572" s="85" t="s">
        <v>564</v>
      </c>
      <c r="C572" s="74" t="s">
        <v>141</v>
      </c>
      <c r="D572" s="87" t="s">
        <v>148</v>
      </c>
      <c r="E572" s="171"/>
      <c r="F572" s="60">
        <v>1</v>
      </c>
      <c r="G572" s="59">
        <f>F572</f>
        <v>1</v>
      </c>
    </row>
    <row r="573" spans="1:7" ht="37.5" customHeight="1">
      <c r="A573" s="171"/>
      <c r="B573" s="85" t="s">
        <v>565</v>
      </c>
      <c r="C573" s="74" t="s">
        <v>287</v>
      </c>
      <c r="D573" s="87" t="s">
        <v>148</v>
      </c>
      <c r="E573" s="171"/>
      <c r="F573" s="96">
        <f>(F570-F575)/F576</f>
        <v>104.54545454545455</v>
      </c>
      <c r="G573" s="59">
        <f>F573</f>
        <v>104.54545454545455</v>
      </c>
    </row>
    <row r="574" spans="1:7" ht="22.5" customHeight="1">
      <c r="A574" s="171">
        <v>3</v>
      </c>
      <c r="B574" s="155" t="s">
        <v>36</v>
      </c>
      <c r="C574" s="76"/>
      <c r="D574" s="87"/>
      <c r="E574" s="171"/>
      <c r="F574" s="96"/>
      <c r="G574" s="59"/>
    </row>
    <row r="575" spans="1:7" ht="41.25" customHeight="1">
      <c r="A575" s="171"/>
      <c r="B575" s="85" t="s">
        <v>566</v>
      </c>
      <c r="C575" s="74" t="s">
        <v>132</v>
      </c>
      <c r="D575" s="87" t="s">
        <v>144</v>
      </c>
      <c r="E575" s="171"/>
      <c r="F575" s="90">
        <v>30000</v>
      </c>
      <c r="G575" s="62">
        <f>F575</f>
        <v>30000</v>
      </c>
    </row>
    <row r="576" spans="1:7" ht="37.5" customHeight="1">
      <c r="A576" s="171"/>
      <c r="B576" s="85" t="s">
        <v>567</v>
      </c>
      <c r="C576" s="74" t="s">
        <v>132</v>
      </c>
      <c r="D576" s="87" t="s">
        <v>144</v>
      </c>
      <c r="E576" s="171"/>
      <c r="F576" s="90">
        <v>2200</v>
      </c>
      <c r="G576" s="62">
        <f>F576</f>
        <v>2200</v>
      </c>
    </row>
    <row r="577" spans="1:7" ht="15.75" customHeight="1">
      <c r="A577" s="171">
        <v>4</v>
      </c>
      <c r="B577" s="155" t="s">
        <v>37</v>
      </c>
      <c r="C577" s="76"/>
      <c r="D577" s="87"/>
      <c r="E577" s="171"/>
      <c r="F577" s="60"/>
      <c r="G577" s="62"/>
    </row>
    <row r="578" spans="1:7" ht="36.75" customHeight="1">
      <c r="A578" s="171"/>
      <c r="B578" s="85" t="s">
        <v>584</v>
      </c>
      <c r="C578" s="74" t="s">
        <v>160</v>
      </c>
      <c r="D578" s="87" t="s">
        <v>144</v>
      </c>
      <c r="E578" s="171"/>
      <c r="F578" s="60">
        <v>100</v>
      </c>
      <c r="G578" s="62">
        <f>F578</f>
        <v>100</v>
      </c>
    </row>
    <row r="579" spans="1:7" ht="40.5" customHeight="1">
      <c r="A579" s="171"/>
      <c r="B579" s="209" t="s">
        <v>972</v>
      </c>
      <c r="C579" s="210"/>
      <c r="D579" s="60"/>
      <c r="E579" s="171"/>
      <c r="F579" s="90"/>
      <c r="G579" s="62"/>
    </row>
    <row r="580" spans="1:7" ht="15.75" customHeight="1">
      <c r="A580" s="171">
        <v>1</v>
      </c>
      <c r="B580" s="155" t="s">
        <v>34</v>
      </c>
      <c r="C580" s="76"/>
      <c r="D580" s="60"/>
      <c r="E580" s="171"/>
      <c r="F580" s="60"/>
      <c r="G580" s="62"/>
    </row>
    <row r="581" spans="1:7" ht="35.25" customHeight="1">
      <c r="A581" s="171"/>
      <c r="B581" s="85" t="s">
        <v>585</v>
      </c>
      <c r="C581" s="74" t="s">
        <v>127</v>
      </c>
      <c r="D581" s="87" t="s">
        <v>553</v>
      </c>
      <c r="E581" s="171"/>
      <c r="F581" s="90">
        <v>100000</v>
      </c>
      <c r="G581" s="59">
        <f>F581</f>
        <v>100000</v>
      </c>
    </row>
    <row r="582" spans="1:7" ht="18" customHeight="1">
      <c r="A582" s="171">
        <v>2</v>
      </c>
      <c r="B582" s="155" t="s">
        <v>35</v>
      </c>
      <c r="C582" s="76"/>
      <c r="D582" s="60"/>
      <c r="E582" s="171"/>
      <c r="F582" s="60"/>
      <c r="G582" s="59"/>
    </row>
    <row r="583" spans="1:7" ht="41.25" customHeight="1">
      <c r="A583" s="171"/>
      <c r="B583" s="85" t="s">
        <v>568</v>
      </c>
      <c r="C583" s="74" t="s">
        <v>141</v>
      </c>
      <c r="D583" s="87" t="s">
        <v>148</v>
      </c>
      <c r="E583" s="171"/>
      <c r="F583" s="96">
        <v>1</v>
      </c>
      <c r="G583" s="59">
        <f>F583</f>
        <v>1</v>
      </c>
    </row>
    <row r="584" spans="1:7" ht="26.25" customHeight="1">
      <c r="A584" s="171"/>
      <c r="B584" s="85" t="s">
        <v>569</v>
      </c>
      <c r="C584" s="74" t="s">
        <v>287</v>
      </c>
      <c r="D584" s="87" t="s">
        <v>148</v>
      </c>
      <c r="E584" s="171"/>
      <c r="F584" s="96">
        <v>31.818181818181817</v>
      </c>
      <c r="G584" s="83">
        <f>F584</f>
        <v>31.818181818181817</v>
      </c>
    </row>
    <row r="585" spans="1:7" ht="18.75" customHeight="1">
      <c r="A585" s="171">
        <v>3</v>
      </c>
      <c r="B585" s="155" t="s">
        <v>36</v>
      </c>
      <c r="C585" s="76"/>
      <c r="D585" s="87"/>
      <c r="E585" s="171"/>
      <c r="F585" s="60"/>
      <c r="G585" s="62"/>
    </row>
    <row r="586" spans="1:7" ht="35.25" customHeight="1">
      <c r="A586" s="171"/>
      <c r="B586" s="85" t="s">
        <v>570</v>
      </c>
      <c r="C586" s="74" t="s">
        <v>132</v>
      </c>
      <c r="D586" s="87" t="s">
        <v>144</v>
      </c>
      <c r="E586" s="171"/>
      <c r="F586" s="90">
        <v>30000</v>
      </c>
      <c r="G586" s="62">
        <f>F586</f>
        <v>30000</v>
      </c>
    </row>
    <row r="587" spans="1:7" ht="32.25" customHeight="1">
      <c r="A587" s="171"/>
      <c r="B587" s="85" t="s">
        <v>571</v>
      </c>
      <c r="C587" s="74" t="s">
        <v>132</v>
      </c>
      <c r="D587" s="87" t="s">
        <v>144</v>
      </c>
      <c r="E587" s="171"/>
      <c r="F587" s="90">
        <v>2200</v>
      </c>
      <c r="G587" s="62">
        <f>F587</f>
        <v>2200</v>
      </c>
    </row>
    <row r="588" spans="1:7" ht="18" customHeight="1">
      <c r="A588" s="171">
        <v>4</v>
      </c>
      <c r="B588" s="155" t="s">
        <v>37</v>
      </c>
      <c r="C588" s="76"/>
      <c r="D588" s="87"/>
      <c r="E588" s="171"/>
      <c r="F588" s="90"/>
      <c r="G588" s="62"/>
    </row>
    <row r="589" spans="1:7" ht="36" customHeight="1">
      <c r="A589" s="171"/>
      <c r="B589" s="85" t="s">
        <v>586</v>
      </c>
      <c r="C589" s="74" t="s">
        <v>160</v>
      </c>
      <c r="D589" s="87" t="s">
        <v>144</v>
      </c>
      <c r="E589" s="171"/>
      <c r="F589" s="60">
        <v>100</v>
      </c>
      <c r="G589" s="62">
        <f>F589</f>
        <v>100</v>
      </c>
    </row>
    <row r="590" spans="1:7" ht="31.5" customHeight="1">
      <c r="A590" s="171"/>
      <c r="B590" s="209" t="s">
        <v>973</v>
      </c>
      <c r="C590" s="210"/>
      <c r="D590" s="60"/>
      <c r="E590" s="171"/>
      <c r="F590" s="60"/>
      <c r="G590" s="62"/>
    </row>
    <row r="591" spans="1:7" ht="18.75" customHeight="1">
      <c r="A591" s="171">
        <v>1</v>
      </c>
      <c r="B591" s="155" t="s">
        <v>34</v>
      </c>
      <c r="C591" s="76"/>
      <c r="D591" s="60"/>
      <c r="E591" s="171"/>
      <c r="F591" s="60"/>
      <c r="G591" s="62"/>
    </row>
    <row r="592" spans="1:7" ht="45.75" customHeight="1">
      <c r="A592" s="171"/>
      <c r="B592" s="85" t="s">
        <v>853</v>
      </c>
      <c r="C592" s="74" t="s">
        <v>127</v>
      </c>
      <c r="D592" s="87" t="s">
        <v>553</v>
      </c>
      <c r="E592" s="171"/>
      <c r="F592" s="90">
        <v>100000</v>
      </c>
      <c r="G592" s="59">
        <f>F592</f>
        <v>100000</v>
      </c>
    </row>
    <row r="593" spans="1:7" ht="26.25" customHeight="1">
      <c r="A593" s="171">
        <v>2</v>
      </c>
      <c r="B593" s="155" t="s">
        <v>35</v>
      </c>
      <c r="C593" s="76"/>
      <c r="D593" s="60"/>
      <c r="E593" s="171"/>
      <c r="F593" s="60"/>
      <c r="G593" s="62"/>
    </row>
    <row r="594" spans="1:7" ht="26.25" customHeight="1">
      <c r="A594" s="171"/>
      <c r="B594" s="85" t="s">
        <v>572</v>
      </c>
      <c r="C594" s="74" t="s">
        <v>141</v>
      </c>
      <c r="D594" s="87" t="s">
        <v>148</v>
      </c>
      <c r="E594" s="171"/>
      <c r="F594" s="60">
        <v>1</v>
      </c>
      <c r="G594" s="62">
        <f>F594</f>
        <v>1</v>
      </c>
    </row>
    <row r="595" spans="1:7" ht="33.75" customHeight="1">
      <c r="A595" s="171"/>
      <c r="B595" s="85" t="s">
        <v>573</v>
      </c>
      <c r="C595" s="74" t="s">
        <v>287</v>
      </c>
      <c r="D595" s="87" t="s">
        <v>148</v>
      </c>
      <c r="E595" s="171"/>
      <c r="F595" s="96">
        <v>31.818181818181817</v>
      </c>
      <c r="G595" s="83">
        <f>F595</f>
        <v>31.818181818181817</v>
      </c>
    </row>
    <row r="596" spans="1:7" ht="15.75" customHeight="1">
      <c r="A596" s="171">
        <v>3</v>
      </c>
      <c r="B596" s="155" t="s">
        <v>36</v>
      </c>
      <c r="C596" s="76"/>
      <c r="D596" s="87"/>
      <c r="E596" s="171"/>
      <c r="F596" s="60"/>
      <c r="G596" s="62"/>
    </row>
    <row r="597" spans="1:7" ht="26.25" customHeight="1">
      <c r="A597" s="171"/>
      <c r="B597" s="85" t="s">
        <v>574</v>
      </c>
      <c r="C597" s="74" t="s">
        <v>132</v>
      </c>
      <c r="D597" s="87" t="s">
        <v>144</v>
      </c>
      <c r="E597" s="171"/>
      <c r="F597" s="95">
        <v>30000</v>
      </c>
      <c r="G597" s="62">
        <f>F597</f>
        <v>30000</v>
      </c>
    </row>
    <row r="598" spans="1:7" ht="30.75" customHeight="1">
      <c r="A598" s="171"/>
      <c r="B598" s="85" t="s">
        <v>575</v>
      </c>
      <c r="C598" s="74" t="s">
        <v>132</v>
      </c>
      <c r="D598" s="87" t="s">
        <v>144</v>
      </c>
      <c r="E598" s="171"/>
      <c r="F598" s="90">
        <v>2200</v>
      </c>
      <c r="G598" s="62">
        <f>F598</f>
        <v>2200</v>
      </c>
    </row>
    <row r="599" spans="1:7" ht="19.5" customHeight="1">
      <c r="A599" s="171">
        <v>4</v>
      </c>
      <c r="B599" s="155" t="s">
        <v>37</v>
      </c>
      <c r="C599" s="76"/>
      <c r="D599" s="87"/>
      <c r="E599" s="171"/>
      <c r="F599" s="96"/>
      <c r="G599" s="59"/>
    </row>
    <row r="600" spans="1:7" ht="26.25" customHeight="1">
      <c r="A600" s="171"/>
      <c r="B600" s="85" t="s">
        <v>587</v>
      </c>
      <c r="C600" s="74" t="s">
        <v>160</v>
      </c>
      <c r="D600" s="87" t="s">
        <v>144</v>
      </c>
      <c r="E600" s="171"/>
      <c r="F600" s="60">
        <v>100</v>
      </c>
      <c r="G600" s="62">
        <f>F600</f>
        <v>100</v>
      </c>
    </row>
    <row r="601" spans="1:7" ht="30.75" customHeight="1">
      <c r="A601" s="171"/>
      <c r="B601" s="209" t="s">
        <v>974</v>
      </c>
      <c r="C601" s="210"/>
      <c r="D601" s="60"/>
      <c r="E601" s="171"/>
      <c r="F601" s="95"/>
      <c r="G601" s="62"/>
    </row>
    <row r="602" spans="1:7" ht="21.75" customHeight="1">
      <c r="A602" s="171">
        <v>1</v>
      </c>
      <c r="B602" s="155" t="s">
        <v>34</v>
      </c>
      <c r="C602" s="76"/>
      <c r="D602" s="60"/>
      <c r="E602" s="171"/>
      <c r="F602" s="60"/>
      <c r="G602" s="62"/>
    </row>
    <row r="603" spans="1:7" ht="46.5" customHeight="1">
      <c r="A603" s="171"/>
      <c r="B603" s="85" t="s">
        <v>588</v>
      </c>
      <c r="C603" s="74" t="s">
        <v>127</v>
      </c>
      <c r="D603" s="87" t="s">
        <v>553</v>
      </c>
      <c r="E603" s="171"/>
      <c r="F603" s="90">
        <v>700000</v>
      </c>
      <c r="G603" s="62">
        <f>F603</f>
        <v>700000</v>
      </c>
    </row>
    <row r="604" spans="1:7" ht="17.25" customHeight="1">
      <c r="A604" s="171">
        <v>2</v>
      </c>
      <c r="B604" s="155" t="s">
        <v>35</v>
      </c>
      <c r="C604" s="76"/>
      <c r="D604" s="60"/>
      <c r="E604" s="171"/>
      <c r="F604" s="60"/>
      <c r="G604" s="62"/>
    </row>
    <row r="605" spans="1:7" ht="26.25" customHeight="1">
      <c r="A605" s="171"/>
      <c r="B605" s="85" t="s">
        <v>576</v>
      </c>
      <c r="C605" s="74" t="s">
        <v>141</v>
      </c>
      <c r="D605" s="87" t="s">
        <v>148</v>
      </c>
      <c r="E605" s="171"/>
      <c r="F605" s="60">
        <v>1</v>
      </c>
      <c r="G605" s="62">
        <f>F605</f>
        <v>1</v>
      </c>
    </row>
    <row r="606" spans="1:7" ht="26.25" customHeight="1">
      <c r="A606" s="171"/>
      <c r="B606" s="85" t="s">
        <v>577</v>
      </c>
      <c r="C606" s="74" t="s">
        <v>287</v>
      </c>
      <c r="D606" s="87" t="s">
        <v>148</v>
      </c>
      <c r="E606" s="171"/>
      <c r="F606" s="95">
        <v>309.09090909090907</v>
      </c>
      <c r="G606" s="62">
        <f>F606</f>
        <v>309.09090909090907</v>
      </c>
    </row>
    <row r="607" spans="1:7" ht="17.25" customHeight="1">
      <c r="A607" s="171">
        <v>3</v>
      </c>
      <c r="B607" s="155" t="s">
        <v>36</v>
      </c>
      <c r="C607" s="76"/>
      <c r="D607" s="87"/>
      <c r="E607" s="171"/>
      <c r="F607" s="60"/>
      <c r="G607" s="62"/>
    </row>
    <row r="608" spans="1:7" ht="43.5" customHeight="1">
      <c r="A608" s="171"/>
      <c r="B608" s="85" t="s">
        <v>578</v>
      </c>
      <c r="C608" s="74" t="s">
        <v>132</v>
      </c>
      <c r="D608" s="87" t="s">
        <v>144</v>
      </c>
      <c r="E608" s="171"/>
      <c r="F608" s="90">
        <v>20000</v>
      </c>
      <c r="G608" s="59">
        <f>F608</f>
        <v>20000</v>
      </c>
    </row>
    <row r="609" spans="1:7" ht="33.75" customHeight="1">
      <c r="A609" s="171"/>
      <c r="B609" s="85" t="s">
        <v>579</v>
      </c>
      <c r="C609" s="74" t="s">
        <v>132</v>
      </c>
      <c r="D609" s="87" t="s">
        <v>144</v>
      </c>
      <c r="E609" s="171"/>
      <c r="F609" s="90">
        <v>2200</v>
      </c>
      <c r="G609" s="62">
        <f>F609</f>
        <v>2200</v>
      </c>
    </row>
    <row r="610" spans="1:7" ht="23.25" customHeight="1">
      <c r="A610" s="171">
        <v>4</v>
      </c>
      <c r="B610" s="155" t="s">
        <v>37</v>
      </c>
      <c r="C610" s="76"/>
      <c r="D610" s="87"/>
      <c r="E610" s="171"/>
      <c r="F610" s="95"/>
      <c r="G610" s="62"/>
    </row>
    <row r="611" spans="1:7" ht="26.25" customHeight="1">
      <c r="A611" s="171"/>
      <c r="B611" s="85" t="s">
        <v>589</v>
      </c>
      <c r="C611" s="74" t="s">
        <v>160</v>
      </c>
      <c r="D611" s="87" t="s">
        <v>144</v>
      </c>
      <c r="E611" s="171"/>
      <c r="F611" s="60">
        <v>100</v>
      </c>
      <c r="G611" s="62">
        <f>F611</f>
        <v>100</v>
      </c>
    </row>
    <row r="612" spans="1:7" ht="35.25" customHeight="1">
      <c r="A612" s="171"/>
      <c r="B612" s="209" t="s">
        <v>975</v>
      </c>
      <c r="C612" s="210"/>
      <c r="D612" s="60"/>
      <c r="E612" s="171"/>
      <c r="F612" s="60"/>
      <c r="G612" s="62"/>
    </row>
    <row r="613" spans="1:7" ht="20.25" customHeight="1">
      <c r="A613" s="171">
        <v>1</v>
      </c>
      <c r="B613" s="155" t="s">
        <v>34</v>
      </c>
      <c r="C613" s="76"/>
      <c r="D613" s="60"/>
      <c r="E613" s="171"/>
      <c r="F613" s="60"/>
      <c r="G613" s="62"/>
    </row>
    <row r="614" spans="1:7" ht="47.25" customHeight="1">
      <c r="A614" s="171"/>
      <c r="B614" s="85" t="s">
        <v>590</v>
      </c>
      <c r="C614" s="74" t="s">
        <v>127</v>
      </c>
      <c r="D614" s="87" t="s">
        <v>553</v>
      </c>
      <c r="E614" s="171"/>
      <c r="F614" s="59">
        <v>1100000</v>
      </c>
      <c r="G614" s="62">
        <f>F614</f>
        <v>1100000</v>
      </c>
    </row>
    <row r="615" spans="1:7" ht="15.75">
      <c r="A615" s="171">
        <v>2</v>
      </c>
      <c r="B615" s="155" t="s">
        <v>35</v>
      </c>
      <c r="C615" s="76"/>
      <c r="D615" s="60"/>
      <c r="E615" s="171"/>
      <c r="F615" s="171"/>
      <c r="G615" s="62"/>
    </row>
    <row r="616" spans="1:7" ht="38.25">
      <c r="A616" s="171"/>
      <c r="B616" s="85" t="s">
        <v>580</v>
      </c>
      <c r="C616" s="74" t="s">
        <v>141</v>
      </c>
      <c r="D616" s="87" t="s">
        <v>148</v>
      </c>
      <c r="E616" s="171"/>
      <c r="F616" s="90">
        <v>1</v>
      </c>
      <c r="G616" s="62">
        <f t="shared" ref="G616:G622" si="9">F616</f>
        <v>1</v>
      </c>
    </row>
    <row r="617" spans="1:7" ht="25.5">
      <c r="A617" s="171"/>
      <c r="B617" s="85" t="s">
        <v>581</v>
      </c>
      <c r="C617" s="74" t="s">
        <v>287</v>
      </c>
      <c r="D617" s="87" t="s">
        <v>148</v>
      </c>
      <c r="E617" s="171"/>
      <c r="F617" s="96">
        <v>490.90909090909093</v>
      </c>
      <c r="G617" s="83">
        <f t="shared" si="9"/>
        <v>490.90909090909093</v>
      </c>
    </row>
    <row r="618" spans="1:7" ht="15.75">
      <c r="A618" s="171">
        <v>3</v>
      </c>
      <c r="B618" s="155" t="s">
        <v>36</v>
      </c>
      <c r="C618" s="76"/>
      <c r="D618" s="87"/>
      <c r="E618" s="171"/>
      <c r="F618" s="60"/>
      <c r="G618" s="62">
        <f t="shared" si="9"/>
        <v>0</v>
      </c>
    </row>
    <row r="619" spans="1:7" ht="38.25">
      <c r="A619" s="171"/>
      <c r="B619" s="85" t="s">
        <v>582</v>
      </c>
      <c r="C619" s="74" t="s">
        <v>132</v>
      </c>
      <c r="D619" s="87" t="s">
        <v>144</v>
      </c>
      <c r="E619" s="171"/>
      <c r="F619" s="90">
        <v>20000</v>
      </c>
      <c r="G619" s="62">
        <f t="shared" si="9"/>
        <v>20000</v>
      </c>
    </row>
    <row r="620" spans="1:7" ht="28.5">
      <c r="A620" s="171"/>
      <c r="B620" s="85" t="s">
        <v>583</v>
      </c>
      <c r="C620" s="74" t="s">
        <v>132</v>
      </c>
      <c r="D620" s="87" t="s">
        <v>144</v>
      </c>
      <c r="E620" s="171"/>
      <c r="F620" s="90">
        <v>2200</v>
      </c>
      <c r="G620" s="62">
        <f t="shared" si="9"/>
        <v>2200</v>
      </c>
    </row>
    <row r="621" spans="1:7" ht="20.25" customHeight="1">
      <c r="A621" s="171">
        <v>4</v>
      </c>
      <c r="B621" s="155" t="s">
        <v>37</v>
      </c>
      <c r="C621" s="76"/>
      <c r="D621" s="87"/>
      <c r="E621" s="171"/>
      <c r="F621" s="95"/>
      <c r="G621" s="62">
        <f t="shared" si="9"/>
        <v>0</v>
      </c>
    </row>
    <row r="622" spans="1:7" ht="25.5">
      <c r="A622" s="171"/>
      <c r="B622" s="85" t="s">
        <v>591</v>
      </c>
      <c r="C622" s="74" t="s">
        <v>160</v>
      </c>
      <c r="D622" s="87" t="s">
        <v>144</v>
      </c>
      <c r="E622" s="171"/>
      <c r="F622" s="95">
        <v>100</v>
      </c>
      <c r="G622" s="62">
        <f t="shared" si="9"/>
        <v>100</v>
      </c>
    </row>
    <row r="623" spans="1:7" ht="31.5" customHeight="1">
      <c r="A623" s="171"/>
      <c r="B623" s="209" t="s">
        <v>976</v>
      </c>
      <c r="C623" s="210"/>
      <c r="D623" s="87"/>
      <c r="E623" s="171"/>
      <c r="F623" s="95"/>
      <c r="G623" s="62"/>
    </row>
    <row r="624" spans="1:7" ht="15.75">
      <c r="A624" s="171">
        <v>1</v>
      </c>
      <c r="B624" s="155" t="s">
        <v>34</v>
      </c>
      <c r="C624" s="74"/>
      <c r="D624" s="87"/>
      <c r="E624" s="171"/>
      <c r="F624" s="95"/>
      <c r="G624" s="62"/>
    </row>
    <row r="625" spans="1:7" ht="38.25">
      <c r="A625" s="171"/>
      <c r="B625" s="85" t="s">
        <v>860</v>
      </c>
      <c r="C625" s="74" t="s">
        <v>127</v>
      </c>
      <c r="D625" s="87" t="s">
        <v>553</v>
      </c>
      <c r="E625" s="171"/>
      <c r="F625" s="95">
        <f>100000+250000</f>
        <v>350000</v>
      </c>
      <c r="G625" s="62">
        <f>F625</f>
        <v>350000</v>
      </c>
    </row>
    <row r="626" spans="1:7" ht="15.75">
      <c r="A626" s="171">
        <v>2</v>
      </c>
      <c r="B626" s="155" t="s">
        <v>35</v>
      </c>
      <c r="C626" s="76"/>
      <c r="D626" s="60"/>
      <c r="E626" s="171"/>
      <c r="F626" s="95"/>
      <c r="G626" s="62"/>
    </row>
    <row r="627" spans="1:7" ht="38.25">
      <c r="A627" s="171"/>
      <c r="B627" s="85" t="s">
        <v>861</v>
      </c>
      <c r="C627" s="74" t="s">
        <v>141</v>
      </c>
      <c r="D627" s="87" t="s">
        <v>148</v>
      </c>
      <c r="E627" s="171"/>
      <c r="F627" s="95">
        <v>1</v>
      </c>
      <c r="G627" s="62">
        <f>F627</f>
        <v>1</v>
      </c>
    </row>
    <row r="628" spans="1:7" ht="25.5">
      <c r="A628" s="171"/>
      <c r="B628" s="85" t="s">
        <v>862</v>
      </c>
      <c r="C628" s="74" t="s">
        <v>287</v>
      </c>
      <c r="D628" s="87" t="s">
        <v>148</v>
      </c>
      <c r="E628" s="171"/>
      <c r="F628" s="95">
        <f>(F625-F630)/F631</f>
        <v>150</v>
      </c>
      <c r="G628" s="62">
        <f>F628</f>
        <v>150</v>
      </c>
    </row>
    <row r="629" spans="1:7" ht="15.75">
      <c r="A629" s="171">
        <v>3</v>
      </c>
      <c r="B629" s="155" t="s">
        <v>36</v>
      </c>
      <c r="C629" s="76"/>
      <c r="D629" s="87"/>
      <c r="E629" s="171"/>
      <c r="F629" s="95"/>
      <c r="G629" s="62"/>
    </row>
    <row r="630" spans="1:7" ht="25.5">
      <c r="A630" s="171"/>
      <c r="B630" s="85" t="s">
        <v>863</v>
      </c>
      <c r="C630" s="74" t="s">
        <v>132</v>
      </c>
      <c r="D630" s="87" t="s">
        <v>144</v>
      </c>
      <c r="E630" s="171"/>
      <c r="F630" s="95">
        <v>20000</v>
      </c>
      <c r="G630" s="62">
        <f>F630</f>
        <v>20000</v>
      </c>
    </row>
    <row r="631" spans="1:7" ht="28.5">
      <c r="A631" s="171"/>
      <c r="B631" s="85" t="s">
        <v>864</v>
      </c>
      <c r="C631" s="74" t="s">
        <v>132</v>
      </c>
      <c r="D631" s="87" t="s">
        <v>144</v>
      </c>
      <c r="E631" s="171"/>
      <c r="F631" s="95">
        <v>2200</v>
      </c>
      <c r="G631" s="62">
        <f>F631</f>
        <v>2200</v>
      </c>
    </row>
    <row r="632" spans="1:7" ht="15.75">
      <c r="A632" s="171">
        <v>4</v>
      </c>
      <c r="B632" s="155" t="s">
        <v>37</v>
      </c>
      <c r="C632" s="76"/>
      <c r="D632" s="87"/>
      <c r="E632" s="171"/>
      <c r="F632" s="95"/>
      <c r="G632" s="62"/>
    </row>
    <row r="633" spans="1:7" ht="25.5">
      <c r="A633" s="171"/>
      <c r="B633" s="85" t="s">
        <v>865</v>
      </c>
      <c r="C633" s="74" t="s">
        <v>160</v>
      </c>
      <c r="D633" s="87" t="s">
        <v>144</v>
      </c>
      <c r="E633" s="171"/>
      <c r="F633" s="95">
        <v>100</v>
      </c>
      <c r="G633" s="62">
        <f>F633</f>
        <v>100</v>
      </c>
    </row>
    <row r="634" spans="1:7" ht="38.25" customHeight="1">
      <c r="A634" s="171"/>
      <c r="B634" s="209" t="s">
        <v>977</v>
      </c>
      <c r="C634" s="210"/>
      <c r="D634" s="87"/>
      <c r="E634" s="171"/>
      <c r="F634" s="95"/>
      <c r="G634" s="62"/>
    </row>
    <row r="635" spans="1:7" ht="15.75">
      <c r="A635" s="171">
        <v>1</v>
      </c>
      <c r="B635" s="155" t="s">
        <v>34</v>
      </c>
      <c r="C635" s="74"/>
      <c r="D635" s="87"/>
      <c r="E635" s="171"/>
      <c r="F635" s="95"/>
      <c r="G635" s="62"/>
    </row>
    <row r="636" spans="1:7" ht="38.25">
      <c r="A636" s="171"/>
      <c r="B636" s="85" t="s">
        <v>866</v>
      </c>
      <c r="C636" s="74" t="s">
        <v>127</v>
      </c>
      <c r="D636" s="87" t="s">
        <v>553</v>
      </c>
      <c r="E636" s="171"/>
      <c r="F636" s="95">
        <v>700000</v>
      </c>
      <c r="G636" s="62">
        <f>F636</f>
        <v>700000</v>
      </c>
    </row>
    <row r="637" spans="1:7" ht="15.75">
      <c r="A637" s="171">
        <v>2</v>
      </c>
      <c r="B637" s="155" t="s">
        <v>35</v>
      </c>
      <c r="C637" s="76"/>
      <c r="D637" s="60"/>
      <c r="E637" s="171"/>
      <c r="F637" s="95"/>
      <c r="G637" s="62"/>
    </row>
    <row r="638" spans="1:7" ht="51">
      <c r="A638" s="171"/>
      <c r="B638" s="85" t="s">
        <v>867</v>
      </c>
      <c r="C638" s="74" t="s">
        <v>141</v>
      </c>
      <c r="D638" s="87" t="s">
        <v>148</v>
      </c>
      <c r="E638" s="171"/>
      <c r="F638" s="95">
        <v>1</v>
      </c>
      <c r="G638" s="62">
        <f>F638</f>
        <v>1</v>
      </c>
    </row>
    <row r="639" spans="1:7" ht="38.25">
      <c r="A639" s="171"/>
      <c r="B639" s="85" t="s">
        <v>869</v>
      </c>
      <c r="C639" s="74" t="s">
        <v>287</v>
      </c>
      <c r="D639" s="87" t="s">
        <v>148</v>
      </c>
      <c r="E639" s="171"/>
      <c r="F639" s="95">
        <f>(F636-F641)/F642</f>
        <v>304.54545454545456</v>
      </c>
      <c r="G639" s="62">
        <f>F639</f>
        <v>304.54545454545456</v>
      </c>
    </row>
    <row r="640" spans="1:7" ht="15.75">
      <c r="A640" s="171">
        <v>3</v>
      </c>
      <c r="B640" s="155" t="s">
        <v>36</v>
      </c>
      <c r="C640" s="76"/>
      <c r="D640" s="87"/>
      <c r="E640" s="171"/>
      <c r="F640" s="95"/>
      <c r="G640" s="62"/>
    </row>
    <row r="641" spans="1:7" ht="51">
      <c r="A641" s="171"/>
      <c r="B641" s="85" t="s">
        <v>868</v>
      </c>
      <c r="C641" s="74" t="s">
        <v>132</v>
      </c>
      <c r="D641" s="87" t="s">
        <v>144</v>
      </c>
      <c r="E641" s="171"/>
      <c r="F641" s="95">
        <v>30000</v>
      </c>
      <c r="G641" s="62">
        <f>F641</f>
        <v>30000</v>
      </c>
    </row>
    <row r="642" spans="1:7" ht="41.25">
      <c r="A642" s="171"/>
      <c r="B642" s="85" t="s">
        <v>870</v>
      </c>
      <c r="C642" s="74" t="s">
        <v>132</v>
      </c>
      <c r="D642" s="87" t="s">
        <v>144</v>
      </c>
      <c r="E642" s="171"/>
      <c r="F642" s="95">
        <v>2200</v>
      </c>
      <c r="G642" s="62">
        <f>F642</f>
        <v>2200</v>
      </c>
    </row>
    <row r="643" spans="1:7" ht="15.75">
      <c r="A643" s="171">
        <v>4</v>
      </c>
      <c r="B643" s="155" t="s">
        <v>37</v>
      </c>
      <c r="C643" s="76"/>
      <c r="D643" s="87"/>
      <c r="E643" s="171"/>
      <c r="F643" s="95"/>
      <c r="G643" s="62"/>
    </row>
    <row r="644" spans="1:7" ht="38.25">
      <c r="A644" s="171"/>
      <c r="B644" s="85" t="s">
        <v>871</v>
      </c>
      <c r="C644" s="74" t="s">
        <v>160</v>
      </c>
      <c r="D644" s="87" t="s">
        <v>144</v>
      </c>
      <c r="E644" s="171"/>
      <c r="F644" s="95">
        <v>100</v>
      </c>
      <c r="G644" s="62">
        <f>F644</f>
        <v>100</v>
      </c>
    </row>
    <row r="645" spans="1:7" ht="38.25" customHeight="1">
      <c r="A645" s="171"/>
      <c r="B645" s="209" t="s">
        <v>978</v>
      </c>
      <c r="C645" s="210"/>
      <c r="D645" s="87"/>
      <c r="E645" s="171"/>
      <c r="F645" s="95"/>
      <c r="G645" s="62"/>
    </row>
    <row r="646" spans="1:7" ht="15.75">
      <c r="A646" s="171">
        <v>1</v>
      </c>
      <c r="B646" s="155" t="s">
        <v>34</v>
      </c>
      <c r="C646" s="74"/>
      <c r="D646" s="87"/>
      <c r="E646" s="171"/>
      <c r="F646" s="95"/>
      <c r="G646" s="62"/>
    </row>
    <row r="647" spans="1:7" ht="54.75" customHeight="1">
      <c r="A647" s="171"/>
      <c r="B647" s="85" t="s">
        <v>951</v>
      </c>
      <c r="C647" s="74" t="s">
        <v>127</v>
      </c>
      <c r="D647" s="87" t="s">
        <v>553</v>
      </c>
      <c r="E647" s="171"/>
      <c r="F647" s="95">
        <v>357138</v>
      </c>
      <c r="G647" s="62">
        <f>F647</f>
        <v>357138</v>
      </c>
    </row>
    <row r="648" spans="1:7" ht="15.75">
      <c r="A648" s="171">
        <v>2</v>
      </c>
      <c r="B648" s="155" t="s">
        <v>35</v>
      </c>
      <c r="C648" s="76"/>
      <c r="D648" s="60"/>
      <c r="E648" s="171"/>
      <c r="F648" s="95"/>
      <c r="G648" s="62"/>
    </row>
    <row r="649" spans="1:7" ht="69" customHeight="1">
      <c r="A649" s="171"/>
      <c r="B649" s="89" t="s">
        <v>952</v>
      </c>
      <c r="C649" s="74" t="s">
        <v>141</v>
      </c>
      <c r="D649" s="87" t="s">
        <v>148</v>
      </c>
      <c r="E649" s="171"/>
      <c r="F649" s="95">
        <v>1</v>
      </c>
      <c r="G649" s="62">
        <f>F649</f>
        <v>1</v>
      </c>
    </row>
    <row r="650" spans="1:7" ht="61.5" customHeight="1">
      <c r="A650" s="171"/>
      <c r="B650" s="85" t="s">
        <v>953</v>
      </c>
      <c r="C650" s="74" t="s">
        <v>287</v>
      </c>
      <c r="D650" s="87" t="s">
        <v>148</v>
      </c>
      <c r="E650" s="171"/>
      <c r="F650" s="95">
        <f>(F647-F652)/F653</f>
        <v>148.6990909090909</v>
      </c>
      <c r="G650" s="62">
        <f>F650</f>
        <v>148.6990909090909</v>
      </c>
    </row>
    <row r="651" spans="1:7" ht="15.75">
      <c r="A651" s="171">
        <v>3</v>
      </c>
      <c r="B651" s="155" t="s">
        <v>36</v>
      </c>
      <c r="C651" s="76"/>
      <c r="D651" s="87"/>
      <c r="E651" s="171"/>
      <c r="F651" s="95"/>
      <c r="G651" s="62"/>
    </row>
    <row r="652" spans="1:7" ht="47.25" customHeight="1">
      <c r="A652" s="171"/>
      <c r="B652" s="85" t="s">
        <v>954</v>
      </c>
      <c r="C652" s="74" t="s">
        <v>132</v>
      </c>
      <c r="D652" s="87" t="s">
        <v>144</v>
      </c>
      <c r="E652" s="171"/>
      <c r="F652" s="95">
        <v>30000</v>
      </c>
      <c r="G652" s="62">
        <f>F652</f>
        <v>30000</v>
      </c>
    </row>
    <row r="653" spans="1:7" ht="53.25" customHeight="1">
      <c r="A653" s="171"/>
      <c r="B653" s="85" t="s">
        <v>955</v>
      </c>
      <c r="C653" s="74" t="s">
        <v>132</v>
      </c>
      <c r="D653" s="87" t="s">
        <v>144</v>
      </c>
      <c r="E653" s="171"/>
      <c r="F653" s="95">
        <v>2200</v>
      </c>
      <c r="G653" s="62">
        <f>F653</f>
        <v>2200</v>
      </c>
    </row>
    <row r="654" spans="1:7" ht="15.75">
      <c r="A654" s="171">
        <v>4</v>
      </c>
      <c r="B654" s="155" t="s">
        <v>37</v>
      </c>
      <c r="C654" s="76"/>
      <c r="D654" s="87"/>
      <c r="E654" s="171"/>
      <c r="F654" s="95"/>
      <c r="G654" s="62"/>
    </row>
    <row r="655" spans="1:7" ht="38.25">
      <c r="A655" s="171"/>
      <c r="B655" s="85" t="s">
        <v>956</v>
      </c>
      <c r="C655" s="74" t="s">
        <v>160</v>
      </c>
      <c r="D655" s="87" t="s">
        <v>144</v>
      </c>
      <c r="E655" s="171"/>
      <c r="F655" s="95">
        <v>100</v>
      </c>
      <c r="G655" s="62">
        <f>F655</f>
        <v>100</v>
      </c>
    </row>
    <row r="656" spans="1:7" ht="39.75" customHeight="1">
      <c r="A656" s="171"/>
      <c r="B656" s="209" t="s">
        <v>979</v>
      </c>
      <c r="C656" s="210"/>
      <c r="D656" s="60"/>
      <c r="E656" s="171"/>
      <c r="F656" s="171"/>
      <c r="G656" s="171"/>
    </row>
    <row r="657" spans="1:7" ht="15.75">
      <c r="A657" s="171">
        <v>1</v>
      </c>
      <c r="B657" s="155" t="s">
        <v>34</v>
      </c>
      <c r="C657" s="76" t="s">
        <v>135</v>
      </c>
      <c r="D657" s="60" t="s">
        <v>135</v>
      </c>
      <c r="E657" s="171"/>
      <c r="F657" s="171"/>
      <c r="G657" s="171"/>
    </row>
    <row r="658" spans="1:7" ht="15.75">
      <c r="A658" s="171"/>
      <c r="B658" s="145" t="s">
        <v>872</v>
      </c>
      <c r="C658" s="76" t="s">
        <v>127</v>
      </c>
      <c r="D658" s="87" t="s">
        <v>553</v>
      </c>
      <c r="E658" s="171"/>
      <c r="F658" s="59">
        <v>1000000</v>
      </c>
      <c r="G658" s="59">
        <f>F658</f>
        <v>1000000</v>
      </c>
    </row>
    <row r="659" spans="1:7" ht="15.75">
      <c r="A659" s="171">
        <v>2</v>
      </c>
      <c r="B659" s="153" t="s">
        <v>35</v>
      </c>
      <c r="C659" s="159"/>
      <c r="D659" s="146"/>
      <c r="E659" s="171"/>
      <c r="F659" s="103" t="s">
        <v>135</v>
      </c>
      <c r="G659" s="62"/>
    </row>
    <row r="660" spans="1:7" ht="38.25">
      <c r="A660" s="171"/>
      <c r="B660" s="85" t="s">
        <v>873</v>
      </c>
      <c r="C660" s="74" t="s">
        <v>129</v>
      </c>
      <c r="D660" s="74" t="s">
        <v>128</v>
      </c>
      <c r="E660" s="171"/>
      <c r="F660" s="171">
        <v>1</v>
      </c>
      <c r="G660" s="171">
        <f>F660</f>
        <v>1</v>
      </c>
    </row>
    <row r="661" spans="1:7" ht="15.75">
      <c r="A661" s="171">
        <v>3</v>
      </c>
      <c r="B661" s="160" t="s">
        <v>36</v>
      </c>
      <c r="C661" s="159"/>
      <c r="D661" s="146"/>
      <c r="E661" s="171"/>
      <c r="F661" s="171" t="s">
        <v>135</v>
      </c>
      <c r="G661" s="62"/>
    </row>
    <row r="662" spans="1:7" ht="25.5">
      <c r="A662" s="171"/>
      <c r="B662" s="85" t="s">
        <v>874</v>
      </c>
      <c r="C662" s="74" t="s">
        <v>132</v>
      </c>
      <c r="D662" s="74" t="s">
        <v>144</v>
      </c>
      <c r="E662" s="171"/>
      <c r="F662" s="59">
        <v>1000000</v>
      </c>
      <c r="G662" s="59">
        <f>F662</f>
        <v>1000000</v>
      </c>
    </row>
    <row r="663" spans="1:7" ht="15.75">
      <c r="A663" s="171">
        <v>4</v>
      </c>
      <c r="B663" s="161" t="s">
        <v>37</v>
      </c>
      <c r="C663" s="159"/>
      <c r="D663" s="146"/>
      <c r="E663" s="171"/>
      <c r="F663" s="62" t="s">
        <v>135</v>
      </c>
      <c r="G663" s="62"/>
    </row>
    <row r="664" spans="1:7" ht="16.5" customHeight="1">
      <c r="A664" s="171"/>
      <c r="B664" s="85" t="s">
        <v>875</v>
      </c>
      <c r="C664" s="74" t="s">
        <v>160</v>
      </c>
      <c r="D664" s="74" t="s">
        <v>144</v>
      </c>
      <c r="E664" s="171"/>
      <c r="F664" s="171">
        <v>100</v>
      </c>
      <c r="G664" s="171">
        <f>F664</f>
        <v>100</v>
      </c>
    </row>
    <row r="665" spans="1:7" ht="32.25" customHeight="1">
      <c r="A665" s="171"/>
      <c r="B665" s="213" t="s">
        <v>980</v>
      </c>
      <c r="C665" s="214"/>
      <c r="D665" s="60"/>
      <c r="E665" s="171"/>
      <c r="F665" s="171"/>
      <c r="G665" s="171"/>
    </row>
    <row r="666" spans="1:7" ht="16.5" customHeight="1">
      <c r="A666" s="171">
        <v>1</v>
      </c>
      <c r="B666" s="155" t="s">
        <v>34</v>
      </c>
      <c r="C666" s="76"/>
      <c r="D666" s="60"/>
      <c r="E666" s="171"/>
      <c r="F666" s="171"/>
      <c r="G666" s="171"/>
    </row>
    <row r="667" spans="1:7" ht="41.25" customHeight="1">
      <c r="A667" s="171"/>
      <c r="B667" s="85" t="s">
        <v>981</v>
      </c>
      <c r="C667" s="87" t="s">
        <v>127</v>
      </c>
      <c r="D667" s="92" t="s">
        <v>286</v>
      </c>
      <c r="E667" s="171"/>
      <c r="F667" s="90">
        <f>100000</f>
        <v>100000</v>
      </c>
      <c r="G667" s="59">
        <f>F667</f>
        <v>100000</v>
      </c>
    </row>
    <row r="668" spans="1:7" ht="16.5" customHeight="1">
      <c r="A668" s="171">
        <v>2</v>
      </c>
      <c r="B668" s="155" t="s">
        <v>35</v>
      </c>
      <c r="C668" s="76"/>
      <c r="D668" s="60"/>
      <c r="E668" s="171"/>
      <c r="F668" s="60"/>
      <c r="G668" s="171"/>
    </row>
    <row r="669" spans="1:7" ht="38.25" customHeight="1">
      <c r="A669" s="171"/>
      <c r="B669" s="89" t="s">
        <v>982</v>
      </c>
      <c r="C669" s="76" t="s">
        <v>141</v>
      </c>
      <c r="D669" s="74" t="s">
        <v>148</v>
      </c>
      <c r="E669" s="171"/>
      <c r="F669" s="60">
        <v>1</v>
      </c>
      <c r="G669" s="171">
        <f>F669</f>
        <v>1</v>
      </c>
    </row>
    <row r="670" spans="1:7" ht="39.75" customHeight="1">
      <c r="A670" s="171"/>
      <c r="B670" s="85" t="s">
        <v>983</v>
      </c>
      <c r="C670" s="74" t="s">
        <v>287</v>
      </c>
      <c r="D670" s="74" t="s">
        <v>148</v>
      </c>
      <c r="E670" s="171"/>
      <c r="F670" s="78">
        <f>(F667-F672)/F673</f>
        <v>40.909090909090907</v>
      </c>
      <c r="G670" s="94">
        <f>F670</f>
        <v>40.909090909090907</v>
      </c>
    </row>
    <row r="671" spans="1:7" ht="16.5" customHeight="1">
      <c r="A671" s="171">
        <v>3</v>
      </c>
      <c r="B671" s="155" t="s">
        <v>36</v>
      </c>
      <c r="C671" s="76"/>
      <c r="D671" s="60"/>
      <c r="E671" s="171"/>
      <c r="F671" s="60"/>
      <c r="G671" s="171"/>
    </row>
    <row r="672" spans="1:7" ht="45" customHeight="1">
      <c r="A672" s="171"/>
      <c r="B672" s="85" t="s">
        <v>984</v>
      </c>
      <c r="C672" s="87" t="s">
        <v>127</v>
      </c>
      <c r="D672" s="74" t="s">
        <v>156</v>
      </c>
      <c r="E672" s="171"/>
      <c r="F672" s="90">
        <v>10000</v>
      </c>
      <c r="G672" s="59">
        <f>F672</f>
        <v>10000</v>
      </c>
    </row>
    <row r="673" spans="1:7" ht="32.25" customHeight="1">
      <c r="A673" s="171"/>
      <c r="B673" s="89" t="s">
        <v>985</v>
      </c>
      <c r="C673" s="74" t="s">
        <v>132</v>
      </c>
      <c r="D673" s="74" t="s">
        <v>156</v>
      </c>
      <c r="E673" s="171"/>
      <c r="F673" s="90">
        <v>2200</v>
      </c>
      <c r="G673" s="59">
        <f>F673</f>
        <v>2200</v>
      </c>
    </row>
    <row r="674" spans="1:7" ht="16.5" customHeight="1">
      <c r="A674" s="171">
        <v>4</v>
      </c>
      <c r="B674" s="155" t="s">
        <v>37</v>
      </c>
      <c r="C674" s="76"/>
      <c r="D674" s="60"/>
      <c r="E674" s="171"/>
      <c r="F674" s="60"/>
      <c r="G674" s="171"/>
    </row>
    <row r="675" spans="1:7" ht="37.5" customHeight="1">
      <c r="A675" s="171"/>
      <c r="B675" s="85" t="s">
        <v>986</v>
      </c>
      <c r="C675" s="74" t="s">
        <v>160</v>
      </c>
      <c r="D675" s="74" t="s">
        <v>156</v>
      </c>
      <c r="E675" s="171"/>
      <c r="F675" s="60">
        <v>100</v>
      </c>
      <c r="G675" s="171">
        <f>F675</f>
        <v>100</v>
      </c>
    </row>
    <row r="676" spans="1:7" ht="23.25" customHeight="1">
      <c r="A676" s="171"/>
      <c r="B676" s="221" t="s">
        <v>592</v>
      </c>
      <c r="C676" s="220"/>
      <c r="D676" s="87"/>
      <c r="E676" s="171"/>
      <c r="F676" s="175">
        <f>F679+F688+F697+F706+F715+F726+F735+F744+F753+F762+F773+F782+F791+F802+F813+F835+F824+F846</f>
        <v>7061815</v>
      </c>
      <c r="G676" s="123">
        <f>F676</f>
        <v>7061815</v>
      </c>
    </row>
    <row r="677" spans="1:7" ht="36" customHeight="1">
      <c r="A677" s="171"/>
      <c r="B677" s="209" t="s">
        <v>471</v>
      </c>
      <c r="C677" s="210"/>
      <c r="D677" s="60"/>
      <c r="E677" s="171"/>
      <c r="F677" s="60"/>
      <c r="G677" s="62"/>
    </row>
    <row r="678" spans="1:7" ht="15.75">
      <c r="A678" s="171">
        <v>1</v>
      </c>
      <c r="B678" s="155" t="s">
        <v>34</v>
      </c>
      <c r="C678" s="74"/>
      <c r="D678" s="60"/>
      <c r="E678" s="171"/>
      <c r="F678" s="95"/>
      <c r="G678" s="62"/>
    </row>
    <row r="679" spans="1:7" ht="38.25">
      <c r="A679" s="171"/>
      <c r="B679" s="85" t="s">
        <v>593</v>
      </c>
      <c r="C679" s="74" t="s">
        <v>127</v>
      </c>
      <c r="D679" s="87" t="s">
        <v>553</v>
      </c>
      <c r="E679" s="171"/>
      <c r="F679" s="90">
        <v>212150</v>
      </c>
      <c r="G679" s="62">
        <f>F679</f>
        <v>212150</v>
      </c>
    </row>
    <row r="680" spans="1:7" ht="15.75">
      <c r="A680" s="171">
        <v>2</v>
      </c>
      <c r="B680" s="155" t="s">
        <v>35</v>
      </c>
      <c r="C680" s="76"/>
      <c r="D680" s="60"/>
      <c r="E680" s="171"/>
      <c r="F680" s="90"/>
      <c r="G680" s="62"/>
    </row>
    <row r="681" spans="1:7" ht="38.25">
      <c r="A681" s="171"/>
      <c r="B681" s="85" t="s">
        <v>472</v>
      </c>
      <c r="C681" s="74" t="s">
        <v>287</v>
      </c>
      <c r="D681" s="87" t="s">
        <v>148</v>
      </c>
      <c r="E681" s="171"/>
      <c r="F681" s="95">
        <v>101.02380952380952</v>
      </c>
      <c r="G681" s="62">
        <f>F681</f>
        <v>101.02380952380952</v>
      </c>
    </row>
    <row r="682" spans="1:7" ht="15.75">
      <c r="A682" s="171">
        <v>3</v>
      </c>
      <c r="B682" s="155" t="s">
        <v>36</v>
      </c>
      <c r="C682" s="76"/>
      <c r="D682" s="87"/>
      <c r="E682" s="171"/>
      <c r="F682" s="90"/>
      <c r="G682" s="62"/>
    </row>
    <row r="683" spans="1:7" ht="41.25">
      <c r="A683" s="171"/>
      <c r="B683" s="85" t="s">
        <v>473</v>
      </c>
      <c r="C683" s="74" t="s">
        <v>132</v>
      </c>
      <c r="D683" s="87" t="s">
        <v>144</v>
      </c>
      <c r="E683" s="171"/>
      <c r="F683" s="90">
        <v>2100</v>
      </c>
      <c r="G683" s="62">
        <f>F683</f>
        <v>2100</v>
      </c>
    </row>
    <row r="684" spans="1:7" ht="15.75">
      <c r="A684" s="171">
        <v>4</v>
      </c>
      <c r="B684" s="155" t="s">
        <v>37</v>
      </c>
      <c r="C684" s="76"/>
      <c r="D684" s="60"/>
      <c r="E684" s="171"/>
      <c r="F684" s="90"/>
      <c r="G684" s="62"/>
    </row>
    <row r="685" spans="1:7" ht="45.75" customHeight="1">
      <c r="A685" s="171"/>
      <c r="B685" s="85" t="s">
        <v>594</v>
      </c>
      <c r="C685" s="74" t="s">
        <v>160</v>
      </c>
      <c r="D685" s="87" t="s">
        <v>144</v>
      </c>
      <c r="E685" s="171"/>
      <c r="F685" s="90">
        <v>100</v>
      </c>
      <c r="G685" s="62">
        <f>F685</f>
        <v>100</v>
      </c>
    </row>
    <row r="686" spans="1:7" ht="33.75" customHeight="1">
      <c r="A686" s="171"/>
      <c r="B686" s="209" t="s">
        <v>381</v>
      </c>
      <c r="C686" s="210"/>
      <c r="D686" s="87"/>
      <c r="E686" s="171"/>
      <c r="F686" s="90"/>
      <c r="G686" s="62"/>
    </row>
    <row r="687" spans="1:7" ht="15.75">
      <c r="A687" s="171">
        <v>1</v>
      </c>
      <c r="B687" s="155" t="s">
        <v>34</v>
      </c>
      <c r="C687" s="74"/>
      <c r="D687" s="87"/>
      <c r="E687" s="171"/>
      <c r="F687" s="90"/>
      <c r="G687" s="59"/>
    </row>
    <row r="688" spans="1:7" ht="25.5">
      <c r="A688" s="171"/>
      <c r="B688" s="85" t="s">
        <v>595</v>
      </c>
      <c r="C688" s="74" t="s">
        <v>127</v>
      </c>
      <c r="D688" s="87" t="s">
        <v>553</v>
      </c>
      <c r="E688" s="171"/>
      <c r="F688" s="90">
        <f>390000-12180</f>
        <v>377820</v>
      </c>
      <c r="G688" s="62">
        <f>F688</f>
        <v>377820</v>
      </c>
    </row>
    <row r="689" spans="1:7" ht="15.75">
      <c r="A689" s="171">
        <v>2</v>
      </c>
      <c r="B689" s="155" t="s">
        <v>35</v>
      </c>
      <c r="C689" s="76"/>
      <c r="D689" s="60"/>
      <c r="E689" s="171"/>
      <c r="F689" s="90"/>
      <c r="G689" s="59"/>
    </row>
    <row r="690" spans="1:7" ht="25.5">
      <c r="A690" s="171"/>
      <c r="B690" s="85" t="s">
        <v>298</v>
      </c>
      <c r="C690" s="74" t="s">
        <v>287</v>
      </c>
      <c r="D690" s="60"/>
      <c r="E690" s="171"/>
      <c r="F690" s="90">
        <v>399</v>
      </c>
      <c r="G690" s="59">
        <f>F690</f>
        <v>399</v>
      </c>
    </row>
    <row r="691" spans="1:7" ht="15.75">
      <c r="A691" s="171">
        <v>3</v>
      </c>
      <c r="B691" s="155" t="s">
        <v>36</v>
      </c>
      <c r="C691" s="76"/>
      <c r="D691" s="87" t="s">
        <v>144</v>
      </c>
      <c r="E691" s="171"/>
      <c r="F691" s="90"/>
      <c r="G691" s="62"/>
    </row>
    <row r="692" spans="1:7" ht="30.75" customHeight="1">
      <c r="A692" s="171"/>
      <c r="B692" s="85" t="s">
        <v>401</v>
      </c>
      <c r="C692" s="74" t="s">
        <v>132</v>
      </c>
      <c r="D692" s="87" t="s">
        <v>144</v>
      </c>
      <c r="E692" s="171"/>
      <c r="F692" s="90">
        <f>F688/F690</f>
        <v>946.91729323308266</v>
      </c>
      <c r="G692" s="59">
        <f>F692</f>
        <v>946.91729323308266</v>
      </c>
    </row>
    <row r="693" spans="1:7" ht="15.75">
      <c r="A693" s="171">
        <v>4</v>
      </c>
      <c r="B693" s="155" t="s">
        <v>37</v>
      </c>
      <c r="C693" s="76"/>
      <c r="D693" s="87"/>
      <c r="E693" s="171"/>
      <c r="F693" s="90"/>
      <c r="G693" s="62"/>
    </row>
    <row r="694" spans="1:7" ht="37.5" customHeight="1">
      <c r="A694" s="171"/>
      <c r="B694" s="85" t="s">
        <v>299</v>
      </c>
      <c r="C694" s="74" t="s">
        <v>160</v>
      </c>
      <c r="D694" s="87" t="s">
        <v>144</v>
      </c>
      <c r="E694" s="171"/>
      <c r="F694" s="90">
        <v>100</v>
      </c>
      <c r="G694" s="59">
        <f>F694</f>
        <v>100</v>
      </c>
    </row>
    <row r="695" spans="1:7" ht="36" customHeight="1">
      <c r="A695" s="171"/>
      <c r="B695" s="219" t="s">
        <v>651</v>
      </c>
      <c r="C695" s="220"/>
      <c r="D695" s="87"/>
      <c r="E695" s="171"/>
      <c r="F695" s="60"/>
      <c r="G695" s="62"/>
    </row>
    <row r="696" spans="1:7" ht="23.25" customHeight="1">
      <c r="A696" s="171">
        <v>1</v>
      </c>
      <c r="B696" s="155" t="s">
        <v>34</v>
      </c>
      <c r="C696" s="76"/>
      <c r="D696" s="60"/>
      <c r="E696" s="171"/>
      <c r="F696" s="60"/>
      <c r="G696" s="62"/>
    </row>
    <row r="697" spans="1:7" ht="36.75" customHeight="1">
      <c r="A697" s="171"/>
      <c r="B697" s="85" t="s">
        <v>596</v>
      </c>
      <c r="C697" s="74" t="s">
        <v>127</v>
      </c>
      <c r="D697" s="87" t="s">
        <v>553</v>
      </c>
      <c r="E697" s="171"/>
      <c r="F697" s="90">
        <f>843500</f>
        <v>843500</v>
      </c>
      <c r="G697" s="59">
        <f>F697</f>
        <v>843500</v>
      </c>
    </row>
    <row r="698" spans="1:7" ht="15.75">
      <c r="A698" s="171">
        <v>2</v>
      </c>
      <c r="B698" s="155" t="s">
        <v>35</v>
      </c>
      <c r="C698" s="76"/>
      <c r="D698" s="60"/>
      <c r="E698" s="171"/>
      <c r="F698" s="60"/>
      <c r="G698" s="62"/>
    </row>
    <row r="699" spans="1:7" ht="47.25" customHeight="1">
      <c r="A699" s="171"/>
      <c r="B699" s="85" t="s">
        <v>410</v>
      </c>
      <c r="C699" s="74" t="s">
        <v>287</v>
      </c>
      <c r="D699" s="74" t="s">
        <v>148</v>
      </c>
      <c r="E699" s="171"/>
      <c r="F699" s="60">
        <f>F697/F701</f>
        <v>421.75</v>
      </c>
      <c r="G699" s="59">
        <f>F699</f>
        <v>421.75</v>
      </c>
    </row>
    <row r="700" spans="1:7" ht="15.75">
      <c r="A700" s="171">
        <v>3</v>
      </c>
      <c r="B700" s="155" t="s">
        <v>36</v>
      </c>
      <c r="C700" s="76"/>
      <c r="D700" s="60"/>
      <c r="E700" s="171"/>
      <c r="F700" s="60"/>
      <c r="G700" s="62"/>
    </row>
    <row r="701" spans="1:7" ht="39.75" customHeight="1">
      <c r="A701" s="171"/>
      <c r="B701" s="85" t="s">
        <v>411</v>
      </c>
      <c r="C701" s="74" t="s">
        <v>132</v>
      </c>
      <c r="D701" s="74" t="s">
        <v>144</v>
      </c>
      <c r="E701" s="171"/>
      <c r="F701" s="95">
        <v>2000</v>
      </c>
      <c r="G701" s="62">
        <f>F701</f>
        <v>2000</v>
      </c>
    </row>
    <row r="702" spans="1:7" ht="15.75">
      <c r="A702" s="171">
        <v>4</v>
      </c>
      <c r="B702" s="155" t="s">
        <v>37</v>
      </c>
      <c r="C702" s="76"/>
      <c r="D702" s="60"/>
      <c r="E702" s="171"/>
      <c r="F702" s="60"/>
      <c r="G702" s="62"/>
    </row>
    <row r="703" spans="1:7" ht="26.25">
      <c r="A703" s="171"/>
      <c r="B703" s="89" t="s">
        <v>412</v>
      </c>
      <c r="C703" s="74" t="s">
        <v>160</v>
      </c>
      <c r="D703" s="74" t="s">
        <v>156</v>
      </c>
      <c r="E703" s="171"/>
      <c r="F703" s="60">
        <v>100</v>
      </c>
      <c r="G703" s="62">
        <f>F703</f>
        <v>100</v>
      </c>
    </row>
    <row r="704" spans="1:7" ht="41.25" customHeight="1">
      <c r="A704" s="171"/>
      <c r="B704" s="224" t="s">
        <v>652</v>
      </c>
      <c r="C704" s="225"/>
      <c r="D704" s="74"/>
      <c r="E704" s="171"/>
      <c r="F704" s="60"/>
      <c r="G704" s="62"/>
    </row>
    <row r="705" spans="1:7" ht="15.75">
      <c r="A705" s="171">
        <v>1</v>
      </c>
      <c r="B705" s="155" t="s">
        <v>34</v>
      </c>
      <c r="C705" s="74"/>
      <c r="D705" s="74"/>
      <c r="E705" s="171"/>
      <c r="F705" s="60"/>
      <c r="G705" s="62"/>
    </row>
    <row r="706" spans="1:7" ht="25.5">
      <c r="A706" s="171"/>
      <c r="B706" s="106" t="s">
        <v>406</v>
      </c>
      <c r="C706" s="74" t="s">
        <v>127</v>
      </c>
      <c r="D706" s="87" t="s">
        <v>553</v>
      </c>
      <c r="E706" s="171"/>
      <c r="F706" s="90">
        <f>672800</f>
        <v>672800</v>
      </c>
      <c r="G706" s="62">
        <f>F706</f>
        <v>672800</v>
      </c>
    </row>
    <row r="707" spans="1:7" ht="15.75">
      <c r="A707" s="171">
        <v>2</v>
      </c>
      <c r="B707" s="155" t="s">
        <v>35</v>
      </c>
      <c r="C707" s="76"/>
      <c r="D707" s="60"/>
      <c r="E707" s="171"/>
      <c r="F707" s="90"/>
      <c r="G707" s="62"/>
    </row>
    <row r="708" spans="1:7" ht="25.5">
      <c r="A708" s="171"/>
      <c r="B708" s="106" t="s">
        <v>407</v>
      </c>
      <c r="C708" s="74" t="s">
        <v>287</v>
      </c>
      <c r="D708" s="74" t="s">
        <v>148</v>
      </c>
      <c r="E708" s="171"/>
      <c r="F708" s="90">
        <f>F706/F710</f>
        <v>400</v>
      </c>
      <c r="G708" s="62">
        <f>F708</f>
        <v>400</v>
      </c>
    </row>
    <row r="709" spans="1:7" ht="15.75">
      <c r="A709" s="171">
        <v>3</v>
      </c>
      <c r="B709" s="155" t="s">
        <v>36</v>
      </c>
      <c r="C709" s="76"/>
      <c r="D709" s="60"/>
      <c r="E709" s="171"/>
      <c r="F709" s="90"/>
      <c r="G709" s="62"/>
    </row>
    <row r="710" spans="1:7" ht="25.5">
      <c r="A710" s="171"/>
      <c r="B710" s="106" t="s">
        <v>408</v>
      </c>
      <c r="C710" s="74" t="s">
        <v>132</v>
      </c>
      <c r="D710" s="74" t="s">
        <v>144</v>
      </c>
      <c r="E710" s="171"/>
      <c r="F710" s="90">
        <v>1682</v>
      </c>
      <c r="G710" s="62">
        <f>F710</f>
        <v>1682</v>
      </c>
    </row>
    <row r="711" spans="1:7" ht="15.75">
      <c r="A711" s="171">
        <v>4</v>
      </c>
      <c r="B711" s="155" t="s">
        <v>37</v>
      </c>
      <c r="C711" s="76"/>
      <c r="D711" s="60"/>
      <c r="E711" s="171"/>
      <c r="F711" s="60"/>
      <c r="G711" s="62"/>
    </row>
    <row r="712" spans="1:7" ht="25.5">
      <c r="A712" s="171"/>
      <c r="B712" s="106" t="s">
        <v>409</v>
      </c>
      <c r="C712" s="74" t="s">
        <v>160</v>
      </c>
      <c r="D712" s="74" t="s">
        <v>156</v>
      </c>
      <c r="E712" s="171"/>
      <c r="F712" s="60">
        <v>100</v>
      </c>
      <c r="G712" s="62">
        <f>F712</f>
        <v>100</v>
      </c>
    </row>
    <row r="713" spans="1:7" ht="39" customHeight="1">
      <c r="A713" s="171"/>
      <c r="B713" s="209" t="s">
        <v>653</v>
      </c>
      <c r="C713" s="210"/>
      <c r="D713" s="87"/>
      <c r="E713" s="171"/>
      <c r="F713" s="60"/>
      <c r="G713" s="62"/>
    </row>
    <row r="714" spans="1:7" ht="15.75">
      <c r="A714" s="171">
        <v>1</v>
      </c>
      <c r="B714" s="155" t="s">
        <v>34</v>
      </c>
      <c r="C714" s="74"/>
      <c r="D714" s="87"/>
      <c r="E714" s="171"/>
      <c r="F714" s="60"/>
      <c r="G714" s="62"/>
    </row>
    <row r="715" spans="1:7" ht="38.25">
      <c r="A715" s="171"/>
      <c r="B715" s="85" t="s">
        <v>602</v>
      </c>
      <c r="C715" s="74" t="s">
        <v>127</v>
      </c>
      <c r="D715" s="127" t="s">
        <v>553</v>
      </c>
      <c r="E715" s="171"/>
      <c r="F715" s="90">
        <v>1000000</v>
      </c>
      <c r="G715" s="62">
        <f>F715</f>
        <v>1000000</v>
      </c>
    </row>
    <row r="716" spans="1:7" ht="15.75">
      <c r="A716" s="171">
        <v>2</v>
      </c>
      <c r="B716" s="155" t="s">
        <v>35</v>
      </c>
      <c r="C716" s="76"/>
      <c r="D716" s="87"/>
      <c r="E716" s="171"/>
      <c r="F716" s="60"/>
      <c r="G716" s="62"/>
    </row>
    <row r="717" spans="1:7" ht="25.5">
      <c r="A717" s="171"/>
      <c r="B717" s="106" t="s">
        <v>597</v>
      </c>
      <c r="C717" s="76" t="s">
        <v>598</v>
      </c>
      <c r="D717" s="87" t="s">
        <v>144</v>
      </c>
      <c r="E717" s="171"/>
      <c r="F717" s="60">
        <v>1</v>
      </c>
      <c r="G717" s="62">
        <f>F717</f>
        <v>1</v>
      </c>
    </row>
    <row r="718" spans="1:7" ht="46.5" customHeight="1">
      <c r="A718" s="171"/>
      <c r="B718" s="85" t="s">
        <v>599</v>
      </c>
      <c r="C718" s="74" t="s">
        <v>287</v>
      </c>
      <c r="D718" s="127" t="s">
        <v>148</v>
      </c>
      <c r="E718" s="171"/>
      <c r="F718" s="60">
        <v>392</v>
      </c>
      <c r="G718" s="62">
        <f>F718</f>
        <v>392</v>
      </c>
    </row>
    <row r="719" spans="1:7" ht="15.75">
      <c r="A719" s="171">
        <v>3</v>
      </c>
      <c r="B719" s="155" t="s">
        <v>36</v>
      </c>
      <c r="C719" s="76"/>
      <c r="D719" s="87"/>
      <c r="E719" s="171"/>
      <c r="F719" s="60"/>
      <c r="G719" s="62"/>
    </row>
    <row r="720" spans="1:7" ht="52.5" customHeight="1">
      <c r="A720" s="171"/>
      <c r="B720" s="85" t="s">
        <v>600</v>
      </c>
      <c r="C720" s="74" t="s">
        <v>132</v>
      </c>
      <c r="D720" s="127" t="s">
        <v>144</v>
      </c>
      <c r="E720" s="171"/>
      <c r="F720" s="90">
        <v>20000</v>
      </c>
      <c r="G720" s="62">
        <f>F720</f>
        <v>20000</v>
      </c>
    </row>
    <row r="721" spans="1:7" ht="52.5" customHeight="1">
      <c r="A721" s="171"/>
      <c r="B721" s="85" t="s">
        <v>601</v>
      </c>
      <c r="C721" s="74" t="s">
        <v>132</v>
      </c>
      <c r="D721" s="127" t="s">
        <v>144</v>
      </c>
      <c r="E721" s="171"/>
      <c r="F721" s="90">
        <v>2500</v>
      </c>
      <c r="G721" s="62">
        <f>F721</f>
        <v>2500</v>
      </c>
    </row>
    <row r="722" spans="1:7" ht="15.75">
      <c r="A722" s="171">
        <v>4</v>
      </c>
      <c r="B722" s="155" t="s">
        <v>37</v>
      </c>
      <c r="C722" s="76"/>
      <c r="D722" s="87"/>
      <c r="E722" s="171"/>
      <c r="F722" s="60"/>
      <c r="G722" s="62"/>
    </row>
    <row r="723" spans="1:7" ht="45.75" customHeight="1">
      <c r="A723" s="171"/>
      <c r="B723" s="85" t="s">
        <v>603</v>
      </c>
      <c r="C723" s="74" t="s">
        <v>160</v>
      </c>
      <c r="D723" s="127" t="s">
        <v>156</v>
      </c>
      <c r="E723" s="171"/>
      <c r="F723" s="60">
        <v>100</v>
      </c>
      <c r="G723" s="62">
        <f>F723</f>
        <v>100</v>
      </c>
    </row>
    <row r="724" spans="1:7" ht="30.75" customHeight="1">
      <c r="A724" s="171"/>
      <c r="B724" s="219" t="s">
        <v>654</v>
      </c>
      <c r="C724" s="214"/>
      <c r="D724" s="60"/>
      <c r="E724" s="171"/>
      <c r="F724" s="60"/>
      <c r="G724" s="62"/>
    </row>
    <row r="725" spans="1:7" ht="15.75">
      <c r="A725" s="171">
        <v>1</v>
      </c>
      <c r="B725" s="155" t="s">
        <v>34</v>
      </c>
      <c r="C725" s="76"/>
      <c r="D725" s="60"/>
      <c r="E725" s="171"/>
      <c r="F725" s="60"/>
      <c r="G725" s="62"/>
    </row>
    <row r="726" spans="1:7" ht="25.5">
      <c r="A726" s="171"/>
      <c r="B726" s="85" t="s">
        <v>604</v>
      </c>
      <c r="C726" s="87" t="s">
        <v>127</v>
      </c>
      <c r="D726" s="127" t="s">
        <v>553</v>
      </c>
      <c r="E726" s="171"/>
      <c r="F726" s="90">
        <f>899545</f>
        <v>899545</v>
      </c>
      <c r="G726" s="62">
        <f>F726</f>
        <v>899545</v>
      </c>
    </row>
    <row r="727" spans="1:7" ht="15.75">
      <c r="A727" s="171">
        <v>2</v>
      </c>
      <c r="B727" s="155" t="s">
        <v>35</v>
      </c>
      <c r="C727" s="76"/>
      <c r="D727" s="60"/>
      <c r="E727" s="171"/>
      <c r="F727" s="60"/>
      <c r="G727" s="62"/>
    </row>
    <row r="728" spans="1:7" ht="25.5">
      <c r="A728" s="171"/>
      <c r="B728" s="85" t="s">
        <v>423</v>
      </c>
      <c r="C728" s="74" t="s">
        <v>287</v>
      </c>
      <c r="D728" s="74" t="s">
        <v>148</v>
      </c>
      <c r="E728" s="171"/>
      <c r="F728" s="96">
        <v>535.12492563950025</v>
      </c>
      <c r="G728" s="59">
        <f>F728</f>
        <v>535.12492563950025</v>
      </c>
    </row>
    <row r="729" spans="1:7" ht="15.75">
      <c r="A729" s="171">
        <v>3</v>
      </c>
      <c r="B729" s="155" t="s">
        <v>36</v>
      </c>
      <c r="C729" s="76"/>
      <c r="D729" s="60"/>
      <c r="E729" s="171"/>
      <c r="F729" s="60"/>
      <c r="G729" s="62"/>
    </row>
    <row r="730" spans="1:7" ht="29.25">
      <c r="A730" s="171"/>
      <c r="B730" s="89" t="s">
        <v>424</v>
      </c>
      <c r="C730" s="74" t="s">
        <v>132</v>
      </c>
      <c r="D730" s="74" t="s">
        <v>144</v>
      </c>
      <c r="E730" s="171"/>
      <c r="F730" s="60">
        <v>1681</v>
      </c>
      <c r="G730" s="62">
        <f>F730</f>
        <v>1681</v>
      </c>
    </row>
    <row r="731" spans="1:7" ht="15.75">
      <c r="A731" s="171">
        <v>4</v>
      </c>
      <c r="B731" s="155" t="s">
        <v>37</v>
      </c>
      <c r="C731" s="76"/>
      <c r="D731" s="60"/>
      <c r="E731" s="171"/>
      <c r="F731" s="60"/>
      <c r="G731" s="62"/>
    </row>
    <row r="732" spans="1:7" ht="25.5">
      <c r="A732" s="171"/>
      <c r="B732" s="85" t="s">
        <v>425</v>
      </c>
      <c r="C732" s="74" t="s">
        <v>160</v>
      </c>
      <c r="D732" s="74" t="s">
        <v>156</v>
      </c>
      <c r="E732" s="171"/>
      <c r="F732" s="60">
        <v>100</v>
      </c>
      <c r="G732" s="62">
        <f>F732</f>
        <v>100</v>
      </c>
    </row>
    <row r="733" spans="1:7" ht="33.75" customHeight="1">
      <c r="A733" s="171"/>
      <c r="B733" s="209" t="s">
        <v>655</v>
      </c>
      <c r="C733" s="210"/>
      <c r="D733" s="87"/>
      <c r="E733" s="171"/>
      <c r="F733" s="60"/>
      <c r="G733" s="62"/>
    </row>
    <row r="734" spans="1:7" ht="15.75">
      <c r="A734" s="171">
        <v>1</v>
      </c>
      <c r="B734" s="155" t="s">
        <v>34</v>
      </c>
      <c r="C734" s="74"/>
      <c r="D734" s="87"/>
      <c r="E734" s="171"/>
      <c r="F734" s="60"/>
      <c r="G734" s="62"/>
    </row>
    <row r="735" spans="1:7" ht="38.25">
      <c r="A735" s="171"/>
      <c r="B735" s="85" t="s">
        <v>605</v>
      </c>
      <c r="C735" s="74" t="s">
        <v>127</v>
      </c>
      <c r="D735" s="127" t="s">
        <v>553</v>
      </c>
      <c r="E735" s="171"/>
      <c r="F735" s="90">
        <f>5000</f>
        <v>5000</v>
      </c>
      <c r="G735" s="62">
        <f>F735</f>
        <v>5000</v>
      </c>
    </row>
    <row r="736" spans="1:7" ht="15.75">
      <c r="A736" s="171">
        <v>2</v>
      </c>
      <c r="B736" s="155" t="s">
        <v>35</v>
      </c>
      <c r="C736" s="76"/>
      <c r="D736" s="87"/>
      <c r="E736" s="171"/>
      <c r="F736" s="60"/>
      <c r="G736" s="62"/>
    </row>
    <row r="737" spans="1:7" ht="38.25">
      <c r="A737" s="171"/>
      <c r="B737" s="106" t="s">
        <v>606</v>
      </c>
      <c r="C737" s="76" t="s">
        <v>598</v>
      </c>
      <c r="D737" s="87" t="s">
        <v>144</v>
      </c>
      <c r="E737" s="171"/>
      <c r="F737" s="60">
        <v>1</v>
      </c>
      <c r="G737" s="62">
        <f>F737</f>
        <v>1</v>
      </c>
    </row>
    <row r="738" spans="1:7" ht="15.75">
      <c r="A738" s="171">
        <v>3</v>
      </c>
      <c r="B738" s="155" t="s">
        <v>36</v>
      </c>
      <c r="C738" s="76"/>
      <c r="D738" s="87"/>
      <c r="E738" s="171"/>
      <c r="F738" s="60"/>
      <c r="G738" s="62"/>
    </row>
    <row r="739" spans="1:7" ht="47.25" customHeight="1">
      <c r="A739" s="171"/>
      <c r="B739" s="85" t="s">
        <v>607</v>
      </c>
      <c r="C739" s="74" t="s">
        <v>132</v>
      </c>
      <c r="D739" s="127" t="s">
        <v>144</v>
      </c>
      <c r="E739" s="171"/>
      <c r="F739" s="90">
        <f>5000</f>
        <v>5000</v>
      </c>
      <c r="G739" s="62">
        <f>F739</f>
        <v>5000</v>
      </c>
    </row>
    <row r="740" spans="1:7" ht="15.75">
      <c r="A740" s="171">
        <v>4</v>
      </c>
      <c r="B740" s="155" t="s">
        <v>37</v>
      </c>
      <c r="C740" s="76"/>
      <c r="D740" s="87"/>
      <c r="E740" s="171"/>
      <c r="F740" s="60"/>
      <c r="G740" s="62"/>
    </row>
    <row r="741" spans="1:7" ht="38.25">
      <c r="A741" s="171"/>
      <c r="B741" s="85" t="s">
        <v>402</v>
      </c>
      <c r="C741" s="74" t="s">
        <v>160</v>
      </c>
      <c r="D741" s="127" t="s">
        <v>156</v>
      </c>
      <c r="E741" s="171"/>
      <c r="F741" s="60">
        <v>100</v>
      </c>
      <c r="G741" s="62">
        <f>F741</f>
        <v>100</v>
      </c>
    </row>
    <row r="742" spans="1:7" ht="37.5" customHeight="1">
      <c r="A742" s="171"/>
      <c r="B742" s="224" t="s">
        <v>656</v>
      </c>
      <c r="C742" s="225"/>
      <c r="D742" s="74"/>
      <c r="E742" s="171"/>
      <c r="F742" s="60"/>
      <c r="G742" s="62"/>
    </row>
    <row r="743" spans="1:7" ht="15.75">
      <c r="A743" s="171">
        <v>1</v>
      </c>
      <c r="B743" s="155" t="s">
        <v>34</v>
      </c>
      <c r="C743" s="74"/>
      <c r="D743" s="74"/>
      <c r="E743" s="171"/>
      <c r="F743" s="60"/>
      <c r="G743" s="62"/>
    </row>
    <row r="744" spans="1:7" ht="39">
      <c r="A744" s="171"/>
      <c r="B744" s="89" t="s">
        <v>608</v>
      </c>
      <c r="C744" s="74" t="s">
        <v>127</v>
      </c>
      <c r="D744" s="127" t="s">
        <v>553</v>
      </c>
      <c r="E744" s="171"/>
      <c r="F744" s="95">
        <f>5000</f>
        <v>5000</v>
      </c>
      <c r="G744" s="62">
        <f>F744</f>
        <v>5000</v>
      </c>
    </row>
    <row r="745" spans="1:7" ht="15.75">
      <c r="A745" s="171">
        <v>2</v>
      </c>
      <c r="B745" s="155" t="s">
        <v>35</v>
      </c>
      <c r="C745" s="76"/>
      <c r="D745" s="60"/>
      <c r="E745" s="171"/>
      <c r="F745" s="60"/>
      <c r="G745" s="62"/>
    </row>
    <row r="746" spans="1:7" ht="42" customHeight="1">
      <c r="A746" s="171"/>
      <c r="B746" s="85" t="s">
        <v>609</v>
      </c>
      <c r="C746" s="74" t="s">
        <v>287</v>
      </c>
      <c r="D746" s="74" t="s">
        <v>148</v>
      </c>
      <c r="E746" s="171"/>
      <c r="F746" s="60">
        <v>1</v>
      </c>
      <c r="G746" s="62">
        <f>F746</f>
        <v>1</v>
      </c>
    </row>
    <row r="747" spans="1:7" ht="15.75">
      <c r="A747" s="171">
        <v>3</v>
      </c>
      <c r="B747" s="155" t="s">
        <v>36</v>
      </c>
      <c r="C747" s="76"/>
      <c r="D747" s="60"/>
      <c r="E747" s="171"/>
      <c r="F747" s="60"/>
      <c r="G747" s="62"/>
    </row>
    <row r="748" spans="1:7" ht="39.75" customHeight="1">
      <c r="A748" s="171"/>
      <c r="B748" s="85" t="s">
        <v>610</v>
      </c>
      <c r="C748" s="74" t="s">
        <v>132</v>
      </c>
      <c r="D748" s="74" t="s">
        <v>144</v>
      </c>
      <c r="E748" s="171"/>
      <c r="F748" s="96">
        <f>F744/F746</f>
        <v>5000</v>
      </c>
      <c r="G748" s="59">
        <f>F748</f>
        <v>5000</v>
      </c>
    </row>
    <row r="749" spans="1:7" ht="15.75">
      <c r="A749" s="171">
        <v>4</v>
      </c>
      <c r="B749" s="155" t="s">
        <v>37</v>
      </c>
      <c r="C749" s="76"/>
      <c r="D749" s="60"/>
      <c r="E749" s="171"/>
      <c r="F749" s="60"/>
      <c r="G749" s="62"/>
    </row>
    <row r="750" spans="1:7" ht="38.25">
      <c r="A750" s="171"/>
      <c r="B750" s="106" t="s">
        <v>611</v>
      </c>
      <c r="C750" s="74" t="s">
        <v>160</v>
      </c>
      <c r="D750" s="74" t="s">
        <v>156</v>
      </c>
      <c r="E750" s="171"/>
      <c r="F750" s="60">
        <v>100</v>
      </c>
      <c r="G750" s="62">
        <f>F750</f>
        <v>100</v>
      </c>
    </row>
    <row r="751" spans="1:7" ht="32.25" customHeight="1">
      <c r="A751" s="171"/>
      <c r="B751" s="224" t="s">
        <v>657</v>
      </c>
      <c r="C751" s="225"/>
      <c r="D751" s="74"/>
      <c r="E751" s="171"/>
      <c r="F751" s="60"/>
      <c r="G751" s="62"/>
    </row>
    <row r="752" spans="1:7" ht="15.75">
      <c r="A752" s="171">
        <v>1</v>
      </c>
      <c r="B752" s="155" t="s">
        <v>34</v>
      </c>
      <c r="C752" s="74"/>
      <c r="D752" s="74"/>
      <c r="E752" s="171"/>
      <c r="F752" s="60"/>
      <c r="G752" s="62"/>
    </row>
    <row r="753" spans="1:7" ht="39">
      <c r="A753" s="171"/>
      <c r="B753" s="89" t="s">
        <v>612</v>
      </c>
      <c r="C753" s="74" t="s">
        <v>127</v>
      </c>
      <c r="D753" s="127" t="s">
        <v>553</v>
      </c>
      <c r="E753" s="171"/>
      <c r="F753" s="90">
        <f>139000</f>
        <v>139000</v>
      </c>
      <c r="G753" s="62">
        <f>F753</f>
        <v>139000</v>
      </c>
    </row>
    <row r="754" spans="1:7" ht="15.75">
      <c r="A754" s="171">
        <v>2</v>
      </c>
      <c r="B754" s="155" t="s">
        <v>35</v>
      </c>
      <c r="C754" s="76"/>
      <c r="D754" s="60"/>
      <c r="E754" s="171"/>
      <c r="F754" s="60"/>
      <c r="G754" s="62"/>
    </row>
    <row r="755" spans="1:7" ht="39">
      <c r="A755" s="171"/>
      <c r="B755" s="89" t="s">
        <v>464</v>
      </c>
      <c r="C755" s="74" t="s">
        <v>287</v>
      </c>
      <c r="D755" s="74" t="s">
        <v>148</v>
      </c>
      <c r="E755" s="171"/>
      <c r="F755" s="96">
        <f>F753/F757</f>
        <v>173.75</v>
      </c>
      <c r="G755" s="59">
        <f>F755</f>
        <v>173.75</v>
      </c>
    </row>
    <row r="756" spans="1:7" ht="15.75">
      <c r="A756" s="171">
        <v>3</v>
      </c>
      <c r="B756" s="155" t="s">
        <v>36</v>
      </c>
      <c r="C756" s="76"/>
      <c r="D756" s="60"/>
      <c r="E756" s="171"/>
      <c r="F756" s="60"/>
      <c r="G756" s="62"/>
    </row>
    <row r="757" spans="1:7" ht="39.75" customHeight="1">
      <c r="A757" s="171"/>
      <c r="B757" s="85" t="s">
        <v>465</v>
      </c>
      <c r="C757" s="74" t="s">
        <v>132</v>
      </c>
      <c r="D757" s="74" t="s">
        <v>144</v>
      </c>
      <c r="E757" s="171"/>
      <c r="F757" s="95">
        <v>800</v>
      </c>
      <c r="G757" s="62">
        <f>F757</f>
        <v>800</v>
      </c>
    </row>
    <row r="758" spans="1:7" ht="15.75">
      <c r="A758" s="171">
        <v>4</v>
      </c>
      <c r="B758" s="155" t="s">
        <v>37</v>
      </c>
      <c r="C758" s="76"/>
      <c r="D758" s="60"/>
      <c r="E758" s="171"/>
      <c r="F758" s="60"/>
      <c r="G758" s="62"/>
    </row>
    <row r="759" spans="1:7" ht="38.25">
      <c r="A759" s="171"/>
      <c r="B759" s="106" t="s">
        <v>613</v>
      </c>
      <c r="C759" s="74" t="s">
        <v>160</v>
      </c>
      <c r="D759" s="74" t="s">
        <v>156</v>
      </c>
      <c r="E759" s="171"/>
      <c r="F759" s="60">
        <v>100</v>
      </c>
      <c r="G759" s="62">
        <f>F759</f>
        <v>100</v>
      </c>
    </row>
    <row r="760" spans="1:7" ht="29.25" customHeight="1">
      <c r="A760" s="171"/>
      <c r="B760" s="209" t="s">
        <v>658</v>
      </c>
      <c r="C760" s="210"/>
      <c r="D760" s="127"/>
      <c r="E760" s="171"/>
      <c r="F760" s="60"/>
      <c r="G760" s="62"/>
    </row>
    <row r="761" spans="1:7" ht="15.75">
      <c r="A761" s="171">
        <v>1</v>
      </c>
      <c r="B761" s="155" t="s">
        <v>34</v>
      </c>
      <c r="C761" s="74"/>
      <c r="D761" s="127"/>
      <c r="E761" s="171"/>
      <c r="F761" s="60"/>
      <c r="G761" s="62"/>
    </row>
    <row r="762" spans="1:7" ht="25.5">
      <c r="A762" s="171"/>
      <c r="B762" s="85" t="s">
        <v>617</v>
      </c>
      <c r="C762" s="74" t="s">
        <v>127</v>
      </c>
      <c r="D762" s="127" t="s">
        <v>553</v>
      </c>
      <c r="E762" s="171"/>
      <c r="F762" s="90">
        <v>500000</v>
      </c>
      <c r="G762" s="62">
        <f>F762</f>
        <v>500000</v>
      </c>
    </row>
    <row r="763" spans="1:7" ht="15.75">
      <c r="A763" s="171">
        <v>2</v>
      </c>
      <c r="B763" s="155" t="s">
        <v>35</v>
      </c>
      <c r="C763" s="74"/>
      <c r="D763" s="127"/>
      <c r="E763" s="171"/>
      <c r="F763" s="60"/>
      <c r="G763" s="62"/>
    </row>
    <row r="764" spans="1:7" ht="62.25" customHeight="1">
      <c r="A764" s="171"/>
      <c r="B764" s="106" t="s">
        <v>618</v>
      </c>
      <c r="C764" s="76" t="s">
        <v>598</v>
      </c>
      <c r="D764" s="87" t="s">
        <v>144</v>
      </c>
      <c r="E764" s="171"/>
      <c r="F764" s="60">
        <v>1</v>
      </c>
      <c r="G764" s="62">
        <f>F764</f>
        <v>1</v>
      </c>
    </row>
    <row r="765" spans="1:7" ht="44.25" customHeight="1">
      <c r="A765" s="171"/>
      <c r="B765" s="85" t="s">
        <v>614</v>
      </c>
      <c r="C765" s="74" t="s">
        <v>287</v>
      </c>
      <c r="D765" s="127" t="s">
        <v>148</v>
      </c>
      <c r="E765" s="171"/>
      <c r="F765" s="60">
        <v>196</v>
      </c>
      <c r="G765" s="62">
        <f>F765</f>
        <v>196</v>
      </c>
    </row>
    <row r="766" spans="1:7" ht="15.75">
      <c r="A766" s="171">
        <v>3</v>
      </c>
      <c r="B766" s="155" t="s">
        <v>36</v>
      </c>
      <c r="C766" s="76"/>
      <c r="D766" s="87"/>
      <c r="E766" s="171"/>
      <c r="F766" s="60"/>
      <c r="G766" s="62"/>
    </row>
    <row r="767" spans="1:7" ht="49.5" customHeight="1">
      <c r="A767" s="171"/>
      <c r="B767" s="85" t="s">
        <v>615</v>
      </c>
      <c r="C767" s="74" t="s">
        <v>132</v>
      </c>
      <c r="D767" s="127" t="s">
        <v>144</v>
      </c>
      <c r="E767" s="171"/>
      <c r="F767" s="90">
        <v>10000</v>
      </c>
      <c r="G767" s="62">
        <f>F767</f>
        <v>10000</v>
      </c>
    </row>
    <row r="768" spans="1:7" ht="51.75" customHeight="1">
      <c r="A768" s="171"/>
      <c r="B768" s="85" t="s">
        <v>616</v>
      </c>
      <c r="C768" s="74" t="s">
        <v>132</v>
      </c>
      <c r="D768" s="127" t="s">
        <v>144</v>
      </c>
      <c r="E768" s="171"/>
      <c r="F768" s="90">
        <v>2500</v>
      </c>
      <c r="G768" s="62">
        <f>F768</f>
        <v>2500</v>
      </c>
    </row>
    <row r="769" spans="1:7" ht="15.75">
      <c r="A769" s="171">
        <v>4</v>
      </c>
      <c r="B769" s="155" t="s">
        <v>37</v>
      </c>
      <c r="C769" s="76"/>
      <c r="D769" s="87"/>
      <c r="E769" s="171"/>
      <c r="F769" s="60"/>
      <c r="G769" s="62"/>
    </row>
    <row r="770" spans="1:7" ht="25.5">
      <c r="A770" s="171"/>
      <c r="B770" s="85" t="s">
        <v>619</v>
      </c>
      <c r="C770" s="74" t="s">
        <v>160</v>
      </c>
      <c r="D770" s="127" t="s">
        <v>156</v>
      </c>
      <c r="E770" s="171"/>
      <c r="F770" s="60">
        <v>100</v>
      </c>
      <c r="G770" s="62">
        <f>F770</f>
        <v>100</v>
      </c>
    </row>
    <row r="771" spans="1:7" ht="34.5" customHeight="1">
      <c r="A771" s="171"/>
      <c r="B771" s="209" t="s">
        <v>831</v>
      </c>
      <c r="C771" s="210"/>
      <c r="D771" s="60"/>
      <c r="E771" s="171"/>
      <c r="F771" s="60"/>
      <c r="G771" s="62"/>
    </row>
    <row r="772" spans="1:7" ht="15.75">
      <c r="A772" s="171">
        <v>1</v>
      </c>
      <c r="B772" s="155" t="s">
        <v>34</v>
      </c>
      <c r="C772" s="76"/>
      <c r="D772" s="60"/>
      <c r="E772" s="171"/>
      <c r="F772" s="60"/>
      <c r="G772" s="62"/>
    </row>
    <row r="773" spans="1:7" ht="25.5">
      <c r="A773" s="171"/>
      <c r="B773" s="85" t="s">
        <v>620</v>
      </c>
      <c r="C773" s="74" t="s">
        <v>132</v>
      </c>
      <c r="D773" s="87" t="s">
        <v>163</v>
      </c>
      <c r="E773" s="171"/>
      <c r="F773" s="90">
        <v>299000</v>
      </c>
      <c r="G773" s="62">
        <f>F773</f>
        <v>299000</v>
      </c>
    </row>
    <row r="774" spans="1:7" ht="15.75">
      <c r="A774" s="171">
        <v>2</v>
      </c>
      <c r="B774" s="155" t="s">
        <v>35</v>
      </c>
      <c r="C774" s="76"/>
      <c r="D774" s="60"/>
      <c r="E774" s="171"/>
      <c r="F774" s="90"/>
      <c r="G774" s="62"/>
    </row>
    <row r="775" spans="1:7" ht="25.5">
      <c r="A775" s="171"/>
      <c r="B775" s="85" t="s">
        <v>621</v>
      </c>
      <c r="C775" s="74" t="s">
        <v>287</v>
      </c>
      <c r="D775" s="87" t="s">
        <v>148</v>
      </c>
      <c r="E775" s="171"/>
      <c r="F775" s="90">
        <v>149.5</v>
      </c>
      <c r="G775" s="62">
        <f>F775</f>
        <v>149.5</v>
      </c>
    </row>
    <row r="776" spans="1:7" ht="15.75">
      <c r="A776" s="171">
        <v>3</v>
      </c>
      <c r="B776" s="155" t="s">
        <v>36</v>
      </c>
      <c r="C776" s="76"/>
      <c r="D776" s="60"/>
      <c r="E776" s="171"/>
      <c r="F776" s="90"/>
      <c r="G776" s="62"/>
    </row>
    <row r="777" spans="1:7" ht="25.5">
      <c r="A777" s="171"/>
      <c r="B777" s="85" t="s">
        <v>622</v>
      </c>
      <c r="C777" s="74" t="s">
        <v>132</v>
      </c>
      <c r="D777" s="87" t="s">
        <v>623</v>
      </c>
      <c r="E777" s="171"/>
      <c r="F777" s="90">
        <v>2000</v>
      </c>
      <c r="G777" s="62">
        <f>F777</f>
        <v>2000</v>
      </c>
    </row>
    <row r="778" spans="1:7" ht="15.75">
      <c r="A778" s="171">
        <v>4</v>
      </c>
      <c r="B778" s="155" t="s">
        <v>37</v>
      </c>
      <c r="C778" s="76"/>
      <c r="D778" s="60"/>
      <c r="E778" s="171"/>
      <c r="F778" s="60"/>
      <c r="G778" s="62"/>
    </row>
    <row r="779" spans="1:7" ht="25.5">
      <c r="A779" s="171"/>
      <c r="B779" s="85" t="s">
        <v>624</v>
      </c>
      <c r="C779" s="74" t="s">
        <v>160</v>
      </c>
      <c r="D779" s="87" t="s">
        <v>156</v>
      </c>
      <c r="E779" s="171"/>
      <c r="F779" s="60">
        <v>100</v>
      </c>
      <c r="G779" s="62">
        <f>F779</f>
        <v>100</v>
      </c>
    </row>
    <row r="780" spans="1:7" ht="29.25" customHeight="1">
      <c r="A780" s="171"/>
      <c r="B780" s="209" t="s">
        <v>659</v>
      </c>
      <c r="C780" s="210"/>
      <c r="D780" s="60"/>
      <c r="E780" s="171"/>
      <c r="F780" s="60"/>
      <c r="G780" s="62"/>
    </row>
    <row r="781" spans="1:7" ht="15.75">
      <c r="A781" s="171">
        <v>1</v>
      </c>
      <c r="B781" s="155" t="s">
        <v>34</v>
      </c>
      <c r="C781" s="74"/>
      <c r="D781" s="74"/>
      <c r="E781" s="171"/>
      <c r="F781" s="60"/>
      <c r="G781" s="62"/>
    </row>
    <row r="782" spans="1:7" ht="25.5">
      <c r="A782" s="171"/>
      <c r="B782" s="85" t="s">
        <v>625</v>
      </c>
      <c r="C782" s="74" t="s">
        <v>127</v>
      </c>
      <c r="D782" s="87" t="s">
        <v>286</v>
      </c>
      <c r="E782" s="171"/>
      <c r="F782" s="90">
        <v>298000</v>
      </c>
      <c r="G782" s="62">
        <f>F782</f>
        <v>298000</v>
      </c>
    </row>
    <row r="783" spans="1:7" ht="15.75">
      <c r="A783" s="171">
        <v>2</v>
      </c>
      <c r="B783" s="155" t="s">
        <v>35</v>
      </c>
      <c r="C783" s="76"/>
      <c r="D783" s="60"/>
      <c r="E783" s="171"/>
      <c r="F783" s="60"/>
      <c r="G783" s="62"/>
    </row>
    <row r="784" spans="1:7" ht="25.5">
      <c r="A784" s="171"/>
      <c r="B784" s="85" t="s">
        <v>497</v>
      </c>
      <c r="C784" s="74" t="s">
        <v>287</v>
      </c>
      <c r="D784" s="74" t="s">
        <v>148</v>
      </c>
      <c r="E784" s="171"/>
      <c r="F784" s="60">
        <v>149</v>
      </c>
      <c r="G784" s="62">
        <f>F784</f>
        <v>149</v>
      </c>
    </row>
    <row r="785" spans="1:7" ht="15.75">
      <c r="A785" s="171">
        <v>3</v>
      </c>
      <c r="B785" s="155" t="s">
        <v>36</v>
      </c>
      <c r="C785" s="76"/>
      <c r="D785" s="60"/>
      <c r="E785" s="171"/>
      <c r="F785" s="60"/>
      <c r="G785" s="62"/>
    </row>
    <row r="786" spans="1:7" ht="25.5">
      <c r="A786" s="171"/>
      <c r="B786" s="85" t="s">
        <v>498</v>
      </c>
      <c r="C786" s="74" t="s">
        <v>132</v>
      </c>
      <c r="D786" s="74" t="s">
        <v>144</v>
      </c>
      <c r="E786" s="171"/>
      <c r="F786" s="90">
        <v>2000</v>
      </c>
      <c r="G786" s="62">
        <f>F786</f>
        <v>2000</v>
      </c>
    </row>
    <row r="787" spans="1:7" ht="15.75">
      <c r="A787" s="171">
        <v>4</v>
      </c>
      <c r="B787" s="155" t="s">
        <v>37</v>
      </c>
      <c r="C787" s="76"/>
      <c r="D787" s="60"/>
      <c r="E787" s="171"/>
      <c r="F787" s="60"/>
      <c r="G787" s="62"/>
    </row>
    <row r="788" spans="1:7" ht="25.5">
      <c r="A788" s="171"/>
      <c r="B788" s="106" t="s">
        <v>626</v>
      </c>
      <c r="C788" s="74" t="s">
        <v>160</v>
      </c>
      <c r="D788" s="74" t="s">
        <v>156</v>
      </c>
      <c r="E788" s="171"/>
      <c r="F788" s="60">
        <v>100</v>
      </c>
      <c r="G788" s="62">
        <f>F788</f>
        <v>100</v>
      </c>
    </row>
    <row r="789" spans="1:7" ht="33" customHeight="1">
      <c r="A789" s="171"/>
      <c r="B789" s="209" t="s">
        <v>660</v>
      </c>
      <c r="C789" s="210"/>
      <c r="D789" s="87"/>
      <c r="E789" s="171"/>
      <c r="F789" s="60"/>
      <c r="G789" s="62"/>
    </row>
    <row r="790" spans="1:7" ht="15.75">
      <c r="A790" s="171">
        <v>1</v>
      </c>
      <c r="B790" s="155" t="s">
        <v>34</v>
      </c>
      <c r="C790" s="74"/>
      <c r="D790" s="87"/>
      <c r="E790" s="171"/>
      <c r="F790" s="60"/>
      <c r="G790" s="62"/>
    </row>
    <row r="791" spans="1:7" ht="33" customHeight="1">
      <c r="A791" s="171"/>
      <c r="B791" s="85" t="s">
        <v>642</v>
      </c>
      <c r="C791" s="74" t="s">
        <v>127</v>
      </c>
      <c r="D791" s="127" t="s">
        <v>553</v>
      </c>
      <c r="E791" s="171"/>
      <c r="F791" s="90">
        <v>200000</v>
      </c>
      <c r="G791" s="62">
        <f>F791</f>
        <v>200000</v>
      </c>
    </row>
    <row r="792" spans="1:7" ht="15.75">
      <c r="A792" s="171">
        <v>2</v>
      </c>
      <c r="B792" s="155" t="s">
        <v>35</v>
      </c>
      <c r="C792" s="76"/>
      <c r="D792" s="87"/>
      <c r="E792" s="171"/>
      <c r="F792" s="90"/>
      <c r="G792" s="62"/>
    </row>
    <row r="793" spans="1:7" ht="53.25" customHeight="1">
      <c r="A793" s="171"/>
      <c r="B793" s="106" t="s">
        <v>643</v>
      </c>
      <c r="C793" s="76" t="s">
        <v>598</v>
      </c>
      <c r="D793" s="87" t="s">
        <v>144</v>
      </c>
      <c r="E793" s="171"/>
      <c r="F793" s="90">
        <v>1</v>
      </c>
      <c r="G793" s="62">
        <f>F793</f>
        <v>1</v>
      </c>
    </row>
    <row r="794" spans="1:7" ht="25.5">
      <c r="A794" s="171"/>
      <c r="B794" s="85" t="s">
        <v>627</v>
      </c>
      <c r="C794" s="74" t="s">
        <v>287</v>
      </c>
      <c r="D794" s="127" t="s">
        <v>148</v>
      </c>
      <c r="E794" s="171"/>
      <c r="F794" s="90">
        <v>72</v>
      </c>
      <c r="G794" s="62">
        <f>F794</f>
        <v>72</v>
      </c>
    </row>
    <row r="795" spans="1:7" ht="15.75">
      <c r="A795" s="171">
        <v>3</v>
      </c>
      <c r="B795" s="155" t="s">
        <v>36</v>
      </c>
      <c r="C795" s="76"/>
      <c r="D795" s="87"/>
      <c r="E795" s="171"/>
      <c r="F795" s="90"/>
      <c r="G795" s="62"/>
    </row>
    <row r="796" spans="1:7" ht="25.5">
      <c r="A796" s="171"/>
      <c r="B796" s="85" t="s">
        <v>628</v>
      </c>
      <c r="C796" s="74" t="s">
        <v>132</v>
      </c>
      <c r="D796" s="127" t="s">
        <v>144</v>
      </c>
      <c r="E796" s="171"/>
      <c r="F796" s="90">
        <v>20000</v>
      </c>
      <c r="G796" s="62">
        <f>F796</f>
        <v>20000</v>
      </c>
    </row>
    <row r="797" spans="1:7" ht="28.5">
      <c r="A797" s="171"/>
      <c r="B797" s="85" t="s">
        <v>629</v>
      </c>
      <c r="C797" s="74" t="s">
        <v>132</v>
      </c>
      <c r="D797" s="127" t="s">
        <v>144</v>
      </c>
      <c r="E797" s="171"/>
      <c r="F797" s="90">
        <v>2500</v>
      </c>
      <c r="G797" s="62">
        <f>F797</f>
        <v>2500</v>
      </c>
    </row>
    <row r="798" spans="1:7" ht="15.75">
      <c r="A798" s="171">
        <v>4</v>
      </c>
      <c r="B798" s="155" t="s">
        <v>37</v>
      </c>
      <c r="C798" s="76"/>
      <c r="D798" s="87"/>
      <c r="E798" s="171"/>
      <c r="F798" s="90"/>
      <c r="G798" s="62"/>
    </row>
    <row r="799" spans="1:7" ht="25.5">
      <c r="A799" s="171"/>
      <c r="B799" s="85" t="s">
        <v>644</v>
      </c>
      <c r="C799" s="74" t="s">
        <v>160</v>
      </c>
      <c r="D799" s="127" t="s">
        <v>156</v>
      </c>
      <c r="E799" s="171"/>
      <c r="F799" s="90">
        <v>100</v>
      </c>
      <c r="G799" s="62">
        <f>F799</f>
        <v>100</v>
      </c>
    </row>
    <row r="800" spans="1:7" ht="30.75" customHeight="1">
      <c r="A800" s="171"/>
      <c r="B800" s="209" t="s">
        <v>661</v>
      </c>
      <c r="C800" s="210"/>
      <c r="D800" s="87"/>
      <c r="E800" s="171"/>
      <c r="F800" s="90"/>
      <c r="G800" s="62"/>
    </row>
    <row r="801" spans="1:7" ht="15.75">
      <c r="A801" s="171">
        <v>1</v>
      </c>
      <c r="B801" s="155" t="s">
        <v>34</v>
      </c>
      <c r="C801" s="74"/>
      <c r="D801" s="87"/>
      <c r="E801" s="171"/>
      <c r="F801" s="90"/>
      <c r="G801" s="62"/>
    </row>
    <row r="802" spans="1:7" ht="25.5">
      <c r="A802" s="171"/>
      <c r="B802" s="85" t="s">
        <v>645</v>
      </c>
      <c r="C802" s="74" t="s">
        <v>127</v>
      </c>
      <c r="D802" s="127" t="s">
        <v>553</v>
      </c>
      <c r="E802" s="171"/>
      <c r="F802" s="90">
        <v>500000</v>
      </c>
      <c r="G802" s="62">
        <f>F802</f>
        <v>500000</v>
      </c>
    </row>
    <row r="803" spans="1:7" ht="15.75">
      <c r="A803" s="171">
        <v>2</v>
      </c>
      <c r="B803" s="155" t="s">
        <v>35</v>
      </c>
      <c r="C803" s="76"/>
      <c r="D803" s="87"/>
      <c r="E803" s="171"/>
      <c r="F803" s="90"/>
      <c r="G803" s="62"/>
    </row>
    <row r="804" spans="1:7" ht="52.5" customHeight="1">
      <c r="A804" s="171"/>
      <c r="B804" s="106" t="s">
        <v>646</v>
      </c>
      <c r="C804" s="76" t="s">
        <v>598</v>
      </c>
      <c r="D804" s="87" t="s">
        <v>144</v>
      </c>
      <c r="E804" s="171"/>
      <c r="F804" s="90">
        <v>1</v>
      </c>
      <c r="G804" s="62">
        <f>F804</f>
        <v>1</v>
      </c>
    </row>
    <row r="805" spans="1:7" ht="38.25" customHeight="1">
      <c r="A805" s="171"/>
      <c r="B805" s="85" t="s">
        <v>630</v>
      </c>
      <c r="C805" s="74" t="s">
        <v>287</v>
      </c>
      <c r="D805" s="127" t="s">
        <v>148</v>
      </c>
      <c r="E805" s="171"/>
      <c r="F805" s="90">
        <v>192</v>
      </c>
      <c r="G805" s="62">
        <f>F805</f>
        <v>192</v>
      </c>
    </row>
    <row r="806" spans="1:7" ht="15.75">
      <c r="A806" s="171">
        <v>3</v>
      </c>
      <c r="B806" s="155" t="s">
        <v>36</v>
      </c>
      <c r="C806" s="76"/>
      <c r="D806" s="87"/>
      <c r="E806" s="171"/>
      <c r="F806" s="90"/>
      <c r="G806" s="62"/>
    </row>
    <row r="807" spans="1:7" ht="58.5" customHeight="1">
      <c r="A807" s="171"/>
      <c r="B807" s="85" t="s">
        <v>631</v>
      </c>
      <c r="C807" s="74" t="s">
        <v>132</v>
      </c>
      <c r="D807" s="127" t="s">
        <v>144</v>
      </c>
      <c r="E807" s="171"/>
      <c r="F807" s="90">
        <v>20000</v>
      </c>
      <c r="G807" s="62">
        <f>F807</f>
        <v>20000</v>
      </c>
    </row>
    <row r="808" spans="1:7" ht="48" customHeight="1">
      <c r="A808" s="171"/>
      <c r="B808" s="85" t="s">
        <v>632</v>
      </c>
      <c r="C808" s="74" t="s">
        <v>132</v>
      </c>
      <c r="D808" s="127" t="s">
        <v>144</v>
      </c>
      <c r="E808" s="171"/>
      <c r="F808" s="90">
        <v>2500</v>
      </c>
      <c r="G808" s="62">
        <f>F808</f>
        <v>2500</v>
      </c>
    </row>
    <row r="809" spans="1:7" ht="15.75">
      <c r="A809" s="171">
        <v>4</v>
      </c>
      <c r="B809" s="155" t="s">
        <v>37</v>
      </c>
      <c r="C809" s="76"/>
      <c r="D809" s="87"/>
      <c r="E809" s="171"/>
      <c r="F809" s="90"/>
      <c r="G809" s="62"/>
    </row>
    <row r="810" spans="1:7" ht="43.5" customHeight="1">
      <c r="A810" s="171"/>
      <c r="B810" s="85" t="s">
        <v>647</v>
      </c>
      <c r="C810" s="74" t="s">
        <v>160</v>
      </c>
      <c r="D810" s="127" t="s">
        <v>156</v>
      </c>
      <c r="E810" s="171"/>
      <c r="F810" s="90">
        <v>100</v>
      </c>
      <c r="G810" s="62">
        <f>F810</f>
        <v>100</v>
      </c>
    </row>
    <row r="811" spans="1:7" ht="34.5" customHeight="1">
      <c r="A811" s="171"/>
      <c r="B811" s="209" t="s">
        <v>662</v>
      </c>
      <c r="C811" s="210"/>
      <c r="D811" s="87"/>
      <c r="E811" s="171"/>
      <c r="F811" s="60"/>
      <c r="G811" s="78"/>
    </row>
    <row r="812" spans="1:7" ht="15.75">
      <c r="A812" s="171">
        <v>1</v>
      </c>
      <c r="B812" s="155" t="s">
        <v>34</v>
      </c>
      <c r="C812" s="74"/>
      <c r="D812" s="87"/>
      <c r="E812" s="171"/>
      <c r="F812" s="60"/>
      <c r="G812" s="62"/>
    </row>
    <row r="813" spans="1:7" ht="36.75" customHeight="1">
      <c r="A813" s="171"/>
      <c r="B813" s="85" t="s">
        <v>639</v>
      </c>
      <c r="C813" s="74" t="s">
        <v>127</v>
      </c>
      <c r="D813" s="127" t="s">
        <v>553</v>
      </c>
      <c r="E813" s="171"/>
      <c r="F813" s="90">
        <v>250000</v>
      </c>
      <c r="G813" s="59">
        <f>F813</f>
        <v>250000</v>
      </c>
    </row>
    <row r="814" spans="1:7" ht="15.75">
      <c r="A814" s="171">
        <v>2</v>
      </c>
      <c r="B814" s="155" t="s">
        <v>35</v>
      </c>
      <c r="C814" s="76"/>
      <c r="D814" s="87"/>
      <c r="E814" s="171"/>
      <c r="F814" s="60"/>
      <c r="G814" s="62"/>
    </row>
    <row r="815" spans="1:7" ht="66" customHeight="1">
      <c r="A815" s="171"/>
      <c r="B815" s="106" t="s">
        <v>640</v>
      </c>
      <c r="C815" s="76" t="s">
        <v>598</v>
      </c>
      <c r="D815" s="87" t="s">
        <v>144</v>
      </c>
      <c r="E815" s="171"/>
      <c r="F815" s="60">
        <v>1</v>
      </c>
      <c r="G815" s="62">
        <f>F815</f>
        <v>1</v>
      </c>
    </row>
    <row r="816" spans="1:7" ht="39.75" customHeight="1">
      <c r="A816" s="171"/>
      <c r="B816" s="85" t="s">
        <v>633</v>
      </c>
      <c r="C816" s="74" t="s">
        <v>287</v>
      </c>
      <c r="D816" s="127" t="s">
        <v>148</v>
      </c>
      <c r="E816" s="171"/>
      <c r="F816" s="60">
        <v>94</v>
      </c>
      <c r="G816" s="62">
        <f>F816</f>
        <v>94</v>
      </c>
    </row>
    <row r="817" spans="1:7" ht="20.25" customHeight="1">
      <c r="A817" s="171">
        <v>3</v>
      </c>
      <c r="B817" s="155" t="s">
        <v>36</v>
      </c>
      <c r="C817" s="76"/>
      <c r="D817" s="87"/>
      <c r="E817" s="171"/>
      <c r="F817" s="60"/>
      <c r="G817" s="62"/>
    </row>
    <row r="818" spans="1:7" ht="47.25" customHeight="1">
      <c r="A818" s="171"/>
      <c r="B818" s="85" t="s">
        <v>634</v>
      </c>
      <c r="C818" s="74" t="s">
        <v>132</v>
      </c>
      <c r="D818" s="127" t="s">
        <v>144</v>
      </c>
      <c r="E818" s="171"/>
      <c r="F818" s="95">
        <v>15000</v>
      </c>
      <c r="G818" s="62">
        <f>F818</f>
        <v>15000</v>
      </c>
    </row>
    <row r="819" spans="1:7" ht="44.25" customHeight="1">
      <c r="A819" s="171"/>
      <c r="B819" s="85" t="s">
        <v>635</v>
      </c>
      <c r="C819" s="74" t="s">
        <v>132</v>
      </c>
      <c r="D819" s="127" t="s">
        <v>144</v>
      </c>
      <c r="E819" s="171"/>
      <c r="F819" s="90">
        <v>2500</v>
      </c>
      <c r="G819" s="62">
        <f>F819</f>
        <v>2500</v>
      </c>
    </row>
    <row r="820" spans="1:7" ht="19.5" customHeight="1">
      <c r="A820" s="171">
        <v>4</v>
      </c>
      <c r="B820" s="155" t="s">
        <v>37</v>
      </c>
      <c r="C820" s="76"/>
      <c r="D820" s="87"/>
      <c r="E820" s="171"/>
      <c r="F820" s="60"/>
      <c r="G820" s="62"/>
    </row>
    <row r="821" spans="1:7" ht="46.5" customHeight="1">
      <c r="A821" s="171"/>
      <c r="B821" s="85" t="s">
        <v>641</v>
      </c>
      <c r="C821" s="74" t="s">
        <v>160</v>
      </c>
      <c r="D821" s="127" t="s">
        <v>156</v>
      </c>
      <c r="E821" s="171"/>
      <c r="F821" s="60">
        <v>100</v>
      </c>
      <c r="G821" s="62">
        <f>F821</f>
        <v>100</v>
      </c>
    </row>
    <row r="822" spans="1:7" ht="28.5" customHeight="1">
      <c r="A822" s="171"/>
      <c r="B822" s="209" t="s">
        <v>993</v>
      </c>
      <c r="C822" s="210"/>
      <c r="D822" s="87"/>
      <c r="E822" s="171"/>
      <c r="F822" s="60"/>
      <c r="G822" s="62"/>
    </row>
    <row r="823" spans="1:7" ht="19.5" customHeight="1">
      <c r="A823" s="171">
        <v>1</v>
      </c>
      <c r="B823" s="155" t="s">
        <v>34</v>
      </c>
      <c r="C823" s="74"/>
      <c r="D823" s="87"/>
      <c r="E823" s="171"/>
      <c r="F823" s="60"/>
      <c r="G823" s="62"/>
    </row>
    <row r="824" spans="1:7" ht="35.25" customHeight="1">
      <c r="A824" s="171"/>
      <c r="B824" s="85" t="s">
        <v>648</v>
      </c>
      <c r="C824" s="74" t="s">
        <v>127</v>
      </c>
      <c r="D824" s="127" t="s">
        <v>553</v>
      </c>
      <c r="E824" s="171"/>
      <c r="F824" s="90">
        <v>500000</v>
      </c>
      <c r="G824" s="62">
        <f>F824</f>
        <v>500000</v>
      </c>
    </row>
    <row r="825" spans="1:7" ht="22.5" customHeight="1">
      <c r="A825" s="171">
        <v>2</v>
      </c>
      <c r="B825" s="155" t="s">
        <v>35</v>
      </c>
      <c r="C825" s="76"/>
      <c r="D825" s="87"/>
      <c r="E825" s="171"/>
      <c r="F825" s="90"/>
      <c r="G825" s="62"/>
    </row>
    <row r="826" spans="1:7" ht="58.5" customHeight="1">
      <c r="A826" s="171"/>
      <c r="B826" s="106" t="s">
        <v>649</v>
      </c>
      <c r="C826" s="76" t="s">
        <v>598</v>
      </c>
      <c r="D826" s="87" t="s">
        <v>144</v>
      </c>
      <c r="E826" s="171"/>
      <c r="F826" s="90">
        <v>1</v>
      </c>
      <c r="G826" s="62">
        <f>F826</f>
        <v>1</v>
      </c>
    </row>
    <row r="827" spans="1:7" ht="42.75" customHeight="1">
      <c r="A827" s="171"/>
      <c r="B827" s="85" t="s">
        <v>636</v>
      </c>
      <c r="C827" s="74" t="s">
        <v>287</v>
      </c>
      <c r="D827" s="127" t="s">
        <v>148</v>
      </c>
      <c r="E827" s="171"/>
      <c r="F827" s="90">
        <v>192</v>
      </c>
      <c r="G827" s="59">
        <f>F827</f>
        <v>192</v>
      </c>
    </row>
    <row r="828" spans="1:7" ht="21.75" customHeight="1">
      <c r="A828" s="171">
        <v>3</v>
      </c>
      <c r="B828" s="155" t="s">
        <v>36</v>
      </c>
      <c r="C828" s="76"/>
      <c r="D828" s="87"/>
      <c r="E828" s="171"/>
      <c r="F828" s="90"/>
      <c r="G828" s="59"/>
    </row>
    <row r="829" spans="1:7" ht="45.75" customHeight="1">
      <c r="A829" s="171"/>
      <c r="B829" s="85" t="s">
        <v>637</v>
      </c>
      <c r="C829" s="74" t="s">
        <v>132</v>
      </c>
      <c r="D829" s="127" t="s">
        <v>144</v>
      </c>
      <c r="E829" s="171"/>
      <c r="F829" s="90">
        <v>20000</v>
      </c>
      <c r="G829" s="59">
        <f>F829</f>
        <v>20000</v>
      </c>
    </row>
    <row r="830" spans="1:7" ht="36.75" customHeight="1">
      <c r="A830" s="171"/>
      <c r="B830" s="85" t="s">
        <v>638</v>
      </c>
      <c r="C830" s="74" t="s">
        <v>132</v>
      </c>
      <c r="D830" s="127" t="s">
        <v>144</v>
      </c>
      <c r="E830" s="171"/>
      <c r="F830" s="90">
        <v>2500</v>
      </c>
      <c r="G830" s="62">
        <f>F830</f>
        <v>2500</v>
      </c>
    </row>
    <row r="831" spans="1:7" ht="24.75" customHeight="1">
      <c r="A831" s="171">
        <v>4</v>
      </c>
      <c r="B831" s="155" t="s">
        <v>37</v>
      </c>
      <c r="C831" s="76"/>
      <c r="D831" s="87"/>
      <c r="E831" s="171"/>
      <c r="F831" s="60"/>
      <c r="G831" s="62"/>
    </row>
    <row r="832" spans="1:7" ht="48" customHeight="1">
      <c r="A832" s="171"/>
      <c r="B832" s="85" t="s">
        <v>650</v>
      </c>
      <c r="C832" s="74" t="s">
        <v>160</v>
      </c>
      <c r="D832" s="127" t="s">
        <v>156</v>
      </c>
      <c r="E832" s="171"/>
      <c r="F832" s="60">
        <v>100</v>
      </c>
      <c r="G832" s="62">
        <f>F832</f>
        <v>100</v>
      </c>
    </row>
    <row r="833" spans="1:7" ht="39.75" customHeight="1">
      <c r="A833" s="171"/>
      <c r="B833" s="209" t="s">
        <v>994</v>
      </c>
      <c r="C833" s="210"/>
      <c r="D833" s="127"/>
      <c r="E833" s="171"/>
      <c r="F833" s="60"/>
      <c r="G833" s="62"/>
    </row>
    <row r="834" spans="1:7" ht="18" customHeight="1">
      <c r="A834" s="171">
        <v>1</v>
      </c>
      <c r="B834" s="155" t="s">
        <v>34</v>
      </c>
      <c r="C834" s="107"/>
      <c r="D834" s="127"/>
      <c r="E834" s="171"/>
      <c r="F834" s="60"/>
      <c r="G834" s="62"/>
    </row>
    <row r="835" spans="1:7" ht="45.75" customHeight="1">
      <c r="A835" s="171"/>
      <c r="B835" s="85" t="s">
        <v>876</v>
      </c>
      <c r="C835" s="74" t="s">
        <v>127</v>
      </c>
      <c r="D835" s="127" t="s">
        <v>553</v>
      </c>
      <c r="E835" s="171"/>
      <c r="F835" s="60">
        <v>110000</v>
      </c>
      <c r="G835" s="62">
        <f>F835</f>
        <v>110000</v>
      </c>
    </row>
    <row r="836" spans="1:7" ht="21" customHeight="1">
      <c r="A836" s="171">
        <v>2</v>
      </c>
      <c r="B836" s="155" t="s">
        <v>35</v>
      </c>
      <c r="C836" s="76"/>
      <c r="D836" s="87"/>
      <c r="E836" s="171"/>
      <c r="F836" s="60"/>
      <c r="G836" s="62"/>
    </row>
    <row r="837" spans="1:7" ht="54" customHeight="1">
      <c r="A837" s="171"/>
      <c r="B837" s="106" t="s">
        <v>877</v>
      </c>
      <c r="C837" s="76" t="s">
        <v>598</v>
      </c>
      <c r="D837" s="87" t="s">
        <v>144</v>
      </c>
      <c r="E837" s="171"/>
      <c r="F837" s="60">
        <v>1</v>
      </c>
      <c r="G837" s="62">
        <f>F837</f>
        <v>1</v>
      </c>
    </row>
    <row r="838" spans="1:7" ht="54" customHeight="1">
      <c r="A838" s="171"/>
      <c r="B838" s="85" t="s">
        <v>878</v>
      </c>
      <c r="C838" s="74" t="s">
        <v>287</v>
      </c>
      <c r="D838" s="127" t="s">
        <v>148</v>
      </c>
      <c r="E838" s="171"/>
      <c r="F838" s="60">
        <f>(F835-F840)/F841</f>
        <v>36</v>
      </c>
      <c r="G838" s="62">
        <f>F838</f>
        <v>36</v>
      </c>
    </row>
    <row r="839" spans="1:7" ht="17.25" customHeight="1">
      <c r="A839" s="171">
        <v>3</v>
      </c>
      <c r="B839" s="155" t="s">
        <v>36</v>
      </c>
      <c r="C839" s="76"/>
      <c r="D839" s="87"/>
      <c r="E839" s="171"/>
      <c r="F839" s="60"/>
      <c r="G839" s="62"/>
    </row>
    <row r="840" spans="1:7" ht="46.5" customHeight="1">
      <c r="A840" s="171"/>
      <c r="B840" s="85" t="s">
        <v>879</v>
      </c>
      <c r="C840" s="74" t="s">
        <v>132</v>
      </c>
      <c r="D840" s="127" t="s">
        <v>144</v>
      </c>
      <c r="E840" s="171"/>
      <c r="F840" s="60">
        <v>20000</v>
      </c>
      <c r="G840" s="62">
        <f>F840</f>
        <v>20000</v>
      </c>
    </row>
    <row r="841" spans="1:7" ht="33.75" customHeight="1">
      <c r="A841" s="171"/>
      <c r="B841" s="85" t="s">
        <v>880</v>
      </c>
      <c r="C841" s="74" t="s">
        <v>132</v>
      </c>
      <c r="D841" s="127" t="s">
        <v>144</v>
      </c>
      <c r="E841" s="171"/>
      <c r="F841" s="60">
        <v>2500</v>
      </c>
      <c r="G841" s="62">
        <f>F841</f>
        <v>2500</v>
      </c>
    </row>
    <row r="842" spans="1:7" ht="21" customHeight="1">
      <c r="A842" s="171">
        <v>4</v>
      </c>
      <c r="B842" s="155" t="s">
        <v>37</v>
      </c>
      <c r="C842" s="76"/>
      <c r="D842" s="87"/>
      <c r="E842" s="171"/>
      <c r="F842" s="60"/>
      <c r="G842" s="62"/>
    </row>
    <row r="843" spans="1:7" ht="51.75" customHeight="1">
      <c r="A843" s="171"/>
      <c r="B843" s="85" t="s">
        <v>881</v>
      </c>
      <c r="C843" s="74" t="s">
        <v>160</v>
      </c>
      <c r="D843" s="127" t="s">
        <v>156</v>
      </c>
      <c r="E843" s="171"/>
      <c r="F843" s="60">
        <v>100</v>
      </c>
      <c r="G843" s="62">
        <f>F843</f>
        <v>100</v>
      </c>
    </row>
    <row r="844" spans="1:7" ht="33" customHeight="1">
      <c r="A844" s="171"/>
      <c r="B844" s="209" t="s">
        <v>995</v>
      </c>
      <c r="C844" s="210"/>
      <c r="D844" s="127"/>
      <c r="E844" s="171"/>
      <c r="F844" s="60"/>
      <c r="G844" s="62"/>
    </row>
    <row r="845" spans="1:7" ht="21.75" customHeight="1">
      <c r="A845" s="171">
        <v>1</v>
      </c>
      <c r="B845" s="155" t="s">
        <v>34</v>
      </c>
      <c r="C845" s="74"/>
      <c r="D845" s="127"/>
      <c r="E845" s="171"/>
      <c r="F845" s="60"/>
      <c r="G845" s="62"/>
    </row>
    <row r="846" spans="1:7" ht="42.75" customHeight="1">
      <c r="A846" s="171"/>
      <c r="B846" s="85" t="s">
        <v>987</v>
      </c>
      <c r="C846" s="74" t="s">
        <v>127</v>
      </c>
      <c r="D846" s="127" t="s">
        <v>553</v>
      </c>
      <c r="E846" s="171"/>
      <c r="F846" s="90">
        <f>250000</f>
        <v>250000</v>
      </c>
      <c r="G846" s="62">
        <f>F846</f>
        <v>250000</v>
      </c>
    </row>
    <row r="847" spans="1:7" ht="21.75" customHeight="1">
      <c r="A847" s="171">
        <v>2</v>
      </c>
      <c r="B847" s="155" t="s">
        <v>35</v>
      </c>
      <c r="C847" s="74"/>
      <c r="D847" s="127"/>
      <c r="E847" s="171"/>
      <c r="F847" s="60"/>
      <c r="G847" s="62"/>
    </row>
    <row r="848" spans="1:7" ht="51.75" customHeight="1">
      <c r="A848" s="171"/>
      <c r="B848" s="106" t="s">
        <v>988</v>
      </c>
      <c r="C848" s="76" t="s">
        <v>598</v>
      </c>
      <c r="D848" s="87" t="s">
        <v>144</v>
      </c>
      <c r="E848" s="171"/>
      <c r="F848" s="60">
        <v>1</v>
      </c>
      <c r="G848" s="62">
        <f>F848</f>
        <v>1</v>
      </c>
    </row>
    <row r="849" spans="1:7" ht="37.5" customHeight="1">
      <c r="A849" s="171"/>
      <c r="B849" s="85" t="s">
        <v>989</v>
      </c>
      <c r="C849" s="74" t="s">
        <v>287</v>
      </c>
      <c r="D849" s="127" t="s">
        <v>148</v>
      </c>
      <c r="E849" s="171"/>
      <c r="F849" s="60">
        <f>(F846-F851)/F852</f>
        <v>96</v>
      </c>
      <c r="G849" s="62">
        <f>F849</f>
        <v>96</v>
      </c>
    </row>
    <row r="850" spans="1:7" ht="23.25" customHeight="1">
      <c r="A850" s="171">
        <v>3</v>
      </c>
      <c r="B850" s="155" t="s">
        <v>36</v>
      </c>
      <c r="C850" s="76"/>
      <c r="D850" s="87"/>
      <c r="E850" s="171"/>
      <c r="F850" s="60"/>
      <c r="G850" s="62"/>
    </row>
    <row r="851" spans="1:7" ht="41.25" customHeight="1">
      <c r="A851" s="171"/>
      <c r="B851" s="85" t="s">
        <v>990</v>
      </c>
      <c r="C851" s="74" t="s">
        <v>132</v>
      </c>
      <c r="D851" s="127" t="s">
        <v>144</v>
      </c>
      <c r="E851" s="171"/>
      <c r="F851" s="90">
        <v>10000</v>
      </c>
      <c r="G851" s="62">
        <f>F851</f>
        <v>10000</v>
      </c>
    </row>
    <row r="852" spans="1:7" ht="45" customHeight="1">
      <c r="A852" s="171"/>
      <c r="B852" s="85" t="s">
        <v>991</v>
      </c>
      <c r="C852" s="74" t="s">
        <v>132</v>
      </c>
      <c r="D852" s="127" t="s">
        <v>144</v>
      </c>
      <c r="E852" s="171"/>
      <c r="F852" s="90">
        <v>2500</v>
      </c>
      <c r="G852" s="62">
        <f>F852</f>
        <v>2500</v>
      </c>
    </row>
    <row r="853" spans="1:7" ht="19.5" customHeight="1">
      <c r="A853" s="171">
        <v>4</v>
      </c>
      <c r="B853" s="155" t="s">
        <v>37</v>
      </c>
      <c r="C853" s="76"/>
      <c r="D853" s="87"/>
      <c r="E853" s="171"/>
      <c r="F853" s="60"/>
      <c r="G853" s="62"/>
    </row>
    <row r="854" spans="1:7" ht="46.5" customHeight="1">
      <c r="A854" s="171"/>
      <c r="B854" s="85" t="s">
        <v>992</v>
      </c>
      <c r="C854" s="74" t="s">
        <v>160</v>
      </c>
      <c r="D854" s="127" t="s">
        <v>156</v>
      </c>
      <c r="E854" s="171"/>
      <c r="F854" s="60">
        <v>100</v>
      </c>
      <c r="G854" s="62">
        <f>F854</f>
        <v>100</v>
      </c>
    </row>
    <row r="855" spans="1:7" ht="27.75" customHeight="1">
      <c r="A855" s="171"/>
      <c r="B855" s="176" t="s">
        <v>422</v>
      </c>
      <c r="C855" s="107"/>
      <c r="D855" s="74"/>
      <c r="E855" s="171"/>
      <c r="F855" s="175">
        <f>F858+F867+F876+F887+F896+F905+F914+F923+F932+F941+F950+F959+F970+F979+F988+F997+F1006+F1015+F1026+F1035+F1044+F1053+F1062+F1073+F1082+F1091+F1100+F1111+F1122+F1133+F1144+F1153+F1164+F1175+F1186+F1197</f>
        <v>20438292</v>
      </c>
      <c r="G855" s="123">
        <f>F855</f>
        <v>20438292</v>
      </c>
    </row>
    <row r="856" spans="1:7" ht="39" customHeight="1">
      <c r="A856" s="171"/>
      <c r="B856" s="209" t="s">
        <v>663</v>
      </c>
      <c r="C856" s="222"/>
      <c r="D856" s="87"/>
      <c r="E856" s="171"/>
      <c r="F856" s="60"/>
      <c r="G856" s="62"/>
    </row>
    <row r="857" spans="1:7" ht="15.75">
      <c r="A857" s="171">
        <v>1</v>
      </c>
      <c r="B857" s="155" t="s">
        <v>34</v>
      </c>
      <c r="C857" s="87"/>
      <c r="D857" s="87"/>
      <c r="E857" s="171"/>
      <c r="F857" s="60"/>
      <c r="G857" s="62"/>
    </row>
    <row r="858" spans="1:7" ht="39">
      <c r="A858" s="171"/>
      <c r="B858" s="89" t="s">
        <v>664</v>
      </c>
      <c r="C858" s="87" t="s">
        <v>127</v>
      </c>
      <c r="D858" s="87" t="s">
        <v>286</v>
      </c>
      <c r="E858" s="171"/>
      <c r="F858" s="95">
        <f>778500</f>
        <v>778500</v>
      </c>
      <c r="G858" s="62">
        <f>F858</f>
        <v>778500</v>
      </c>
    </row>
    <row r="859" spans="1:7" ht="15.75">
      <c r="A859" s="171">
        <v>2</v>
      </c>
      <c r="B859" s="155" t="s">
        <v>35</v>
      </c>
      <c r="C859" s="87"/>
      <c r="D859" s="87"/>
      <c r="E859" s="171"/>
      <c r="F859" s="60"/>
      <c r="G859" s="62"/>
    </row>
    <row r="860" spans="1:7" ht="39">
      <c r="A860" s="171"/>
      <c r="B860" s="89" t="s">
        <v>854</v>
      </c>
      <c r="C860" s="74" t="s">
        <v>287</v>
      </c>
      <c r="D860" s="74" t="s">
        <v>148</v>
      </c>
      <c r="E860" s="171"/>
      <c r="F860" s="96">
        <f>F858/F862</f>
        <v>850.81967213114751</v>
      </c>
      <c r="G860" s="83">
        <f>F860</f>
        <v>850.81967213114751</v>
      </c>
    </row>
    <row r="861" spans="1:7" ht="15.75">
      <c r="A861" s="171">
        <v>3</v>
      </c>
      <c r="B861" s="155" t="s">
        <v>36</v>
      </c>
      <c r="C861" s="76"/>
      <c r="D861" s="60"/>
      <c r="E861" s="171"/>
      <c r="F861" s="60"/>
      <c r="G861" s="62"/>
    </row>
    <row r="862" spans="1:7" ht="42">
      <c r="A862" s="171"/>
      <c r="B862" s="89" t="s">
        <v>300</v>
      </c>
      <c r="C862" s="74" t="s">
        <v>132</v>
      </c>
      <c r="D862" s="74" t="s">
        <v>144</v>
      </c>
      <c r="E862" s="171"/>
      <c r="F862" s="95">
        <v>915</v>
      </c>
      <c r="G862" s="62">
        <f>F862</f>
        <v>915</v>
      </c>
    </row>
    <row r="863" spans="1:7" ht="15.75">
      <c r="A863" s="171">
        <v>4</v>
      </c>
      <c r="B863" s="155" t="s">
        <v>37</v>
      </c>
      <c r="C863" s="76"/>
      <c r="D863" s="60"/>
      <c r="E863" s="171"/>
      <c r="F863" s="60"/>
      <c r="G863" s="62"/>
    </row>
    <row r="864" spans="1:7" ht="39">
      <c r="A864" s="171"/>
      <c r="B864" s="89" t="s">
        <v>301</v>
      </c>
      <c r="C864" s="74" t="s">
        <v>160</v>
      </c>
      <c r="D864" s="74" t="s">
        <v>156</v>
      </c>
      <c r="E864" s="171"/>
      <c r="F864" s="60">
        <v>100</v>
      </c>
      <c r="G864" s="62">
        <f>F864</f>
        <v>100</v>
      </c>
    </row>
    <row r="865" spans="1:7" ht="42.75" customHeight="1">
      <c r="A865" s="171"/>
      <c r="B865" s="224" t="s">
        <v>723</v>
      </c>
      <c r="C865" s="225"/>
      <c r="D865" s="60"/>
      <c r="E865" s="171"/>
      <c r="F865" s="60"/>
      <c r="G865" s="62"/>
    </row>
    <row r="866" spans="1:7" ht="15.75">
      <c r="A866" s="171">
        <v>1</v>
      </c>
      <c r="B866" s="155" t="s">
        <v>34</v>
      </c>
      <c r="C866" s="76"/>
      <c r="D866" s="60"/>
      <c r="E866" s="171"/>
      <c r="F866" s="60"/>
      <c r="G866" s="62"/>
    </row>
    <row r="867" spans="1:7" ht="42.75" customHeight="1">
      <c r="A867" s="171"/>
      <c r="B867" s="85" t="s">
        <v>667</v>
      </c>
      <c r="C867" s="74" t="s">
        <v>127</v>
      </c>
      <c r="D867" s="87" t="s">
        <v>286</v>
      </c>
      <c r="E867" s="171"/>
      <c r="F867" s="90">
        <f>299000+116000</f>
        <v>415000</v>
      </c>
      <c r="G867" s="62">
        <f>F867</f>
        <v>415000</v>
      </c>
    </row>
    <row r="868" spans="1:7" ht="15.75">
      <c r="A868" s="171">
        <v>2</v>
      </c>
      <c r="B868" s="155" t="s">
        <v>35</v>
      </c>
      <c r="C868" s="76"/>
      <c r="D868" s="60"/>
      <c r="E868" s="171"/>
      <c r="F868" s="60"/>
      <c r="G868" s="62"/>
    </row>
    <row r="869" spans="1:7" ht="25.5">
      <c r="A869" s="171"/>
      <c r="B869" s="85" t="s">
        <v>665</v>
      </c>
      <c r="C869" s="74" t="s">
        <v>287</v>
      </c>
      <c r="D869" s="87" t="s">
        <v>148</v>
      </c>
      <c r="E869" s="171"/>
      <c r="F869" s="90">
        <f>F867/F871</f>
        <v>188.63636363636363</v>
      </c>
      <c r="G869" s="59">
        <f>F869</f>
        <v>188.63636363636363</v>
      </c>
    </row>
    <row r="870" spans="1:7" ht="15.75">
      <c r="A870" s="171">
        <v>3</v>
      </c>
      <c r="B870" s="155" t="s">
        <v>36</v>
      </c>
      <c r="C870" s="76"/>
      <c r="D870" s="60"/>
      <c r="E870" s="171"/>
      <c r="F870" s="90"/>
      <c r="G870" s="62"/>
    </row>
    <row r="871" spans="1:7" ht="35.25" customHeight="1">
      <c r="A871" s="171"/>
      <c r="B871" s="85" t="s">
        <v>666</v>
      </c>
      <c r="C871" s="74" t="s">
        <v>132</v>
      </c>
      <c r="D871" s="87" t="s">
        <v>144</v>
      </c>
      <c r="E871" s="171"/>
      <c r="F871" s="90">
        <v>2200</v>
      </c>
      <c r="G871" s="62">
        <f>F871</f>
        <v>2200</v>
      </c>
    </row>
    <row r="872" spans="1:7" ht="15.75">
      <c r="A872" s="171">
        <v>4</v>
      </c>
      <c r="B872" s="155" t="s">
        <v>37</v>
      </c>
      <c r="C872" s="76"/>
      <c r="D872" s="60"/>
      <c r="E872" s="171"/>
      <c r="F872" s="90"/>
      <c r="G872" s="62"/>
    </row>
    <row r="873" spans="1:7" ht="45.75" customHeight="1">
      <c r="A873" s="171"/>
      <c r="B873" s="85" t="s">
        <v>668</v>
      </c>
      <c r="C873" s="74" t="s">
        <v>160</v>
      </c>
      <c r="D873" s="87" t="s">
        <v>156</v>
      </c>
      <c r="E873" s="171"/>
      <c r="F873" s="90">
        <v>100</v>
      </c>
      <c r="G873" s="62">
        <f>F873</f>
        <v>100</v>
      </c>
    </row>
    <row r="874" spans="1:7" ht="34.5" customHeight="1">
      <c r="A874" s="171"/>
      <c r="B874" s="224" t="s">
        <v>724</v>
      </c>
      <c r="C874" s="225"/>
      <c r="D874" s="60"/>
      <c r="E874" s="171"/>
      <c r="F874" s="90"/>
      <c r="G874" s="62"/>
    </row>
    <row r="875" spans="1:7" ht="15.75">
      <c r="A875" s="171">
        <v>1</v>
      </c>
      <c r="B875" s="155" t="s">
        <v>34</v>
      </c>
      <c r="C875" s="76"/>
      <c r="D875" s="60"/>
      <c r="E875" s="171"/>
      <c r="F875" s="90"/>
      <c r="G875" s="62"/>
    </row>
    <row r="876" spans="1:7" ht="51.75" customHeight="1">
      <c r="A876" s="171"/>
      <c r="B876" s="85" t="s">
        <v>672</v>
      </c>
      <c r="C876" s="74" t="s">
        <v>127</v>
      </c>
      <c r="D876" s="87" t="s">
        <v>286</v>
      </c>
      <c r="E876" s="171"/>
      <c r="F876" s="90">
        <v>1000000</v>
      </c>
      <c r="G876" s="62">
        <f>F876</f>
        <v>1000000</v>
      </c>
    </row>
    <row r="877" spans="1:7" ht="15.75">
      <c r="A877" s="171">
        <v>2</v>
      </c>
      <c r="B877" s="155" t="s">
        <v>35</v>
      </c>
      <c r="C877" s="76"/>
      <c r="D877" s="60"/>
      <c r="E877" s="171"/>
      <c r="F877" s="90"/>
      <c r="G877" s="62"/>
    </row>
    <row r="878" spans="1:7" ht="51.75" customHeight="1">
      <c r="A878" s="171"/>
      <c r="B878" s="106" t="s">
        <v>673</v>
      </c>
      <c r="C878" s="76" t="s">
        <v>598</v>
      </c>
      <c r="D878" s="87" t="s">
        <v>144</v>
      </c>
      <c r="E878" s="171"/>
      <c r="F878" s="90">
        <v>1</v>
      </c>
      <c r="G878" s="62">
        <f>F878</f>
        <v>1</v>
      </c>
    </row>
    <row r="879" spans="1:7" ht="46.5" customHeight="1">
      <c r="A879" s="171"/>
      <c r="B879" s="85" t="s">
        <v>669</v>
      </c>
      <c r="C879" s="74" t="s">
        <v>287</v>
      </c>
      <c r="D879" s="74" t="s">
        <v>148</v>
      </c>
      <c r="E879" s="171"/>
      <c r="F879" s="90">
        <v>447.72727272727275</v>
      </c>
      <c r="G879" s="62">
        <f>F879</f>
        <v>447.72727272727275</v>
      </c>
    </row>
    <row r="880" spans="1:7" ht="15.75">
      <c r="A880" s="171">
        <v>3</v>
      </c>
      <c r="B880" s="155" t="s">
        <v>36</v>
      </c>
      <c r="C880" s="76"/>
      <c r="D880" s="60"/>
      <c r="E880" s="171"/>
      <c r="F880" s="90"/>
      <c r="G880" s="62"/>
    </row>
    <row r="881" spans="1:7" ht="47.25" customHeight="1">
      <c r="A881" s="171"/>
      <c r="B881" s="85" t="s">
        <v>670</v>
      </c>
      <c r="C881" s="74" t="s">
        <v>132</v>
      </c>
      <c r="D881" s="127" t="s">
        <v>144</v>
      </c>
      <c r="E881" s="171"/>
      <c r="F881" s="90">
        <v>15000</v>
      </c>
      <c r="G881" s="62">
        <f>F881</f>
        <v>15000</v>
      </c>
    </row>
    <row r="882" spans="1:7" ht="42.75" customHeight="1">
      <c r="A882" s="171"/>
      <c r="B882" s="85" t="s">
        <v>671</v>
      </c>
      <c r="C882" s="74" t="s">
        <v>132</v>
      </c>
      <c r="D882" s="74" t="s">
        <v>144</v>
      </c>
      <c r="E882" s="171"/>
      <c r="F882" s="90">
        <v>2200</v>
      </c>
      <c r="G882" s="62">
        <f>F882</f>
        <v>2200</v>
      </c>
    </row>
    <row r="883" spans="1:7" ht="15.75">
      <c r="A883" s="171">
        <v>4</v>
      </c>
      <c r="B883" s="155" t="s">
        <v>37</v>
      </c>
      <c r="C883" s="76"/>
      <c r="D883" s="60"/>
      <c r="E883" s="171"/>
      <c r="F883" s="60"/>
      <c r="G883" s="62"/>
    </row>
    <row r="884" spans="1:7" ht="38.25">
      <c r="A884" s="171"/>
      <c r="B884" s="85" t="s">
        <v>674</v>
      </c>
      <c r="C884" s="74" t="s">
        <v>160</v>
      </c>
      <c r="D884" s="87" t="s">
        <v>156</v>
      </c>
      <c r="E884" s="171"/>
      <c r="F884" s="60">
        <v>100</v>
      </c>
      <c r="G884" s="62">
        <f>F884</f>
        <v>100</v>
      </c>
    </row>
    <row r="885" spans="1:7" ht="30.75" customHeight="1">
      <c r="A885" s="171"/>
      <c r="B885" s="209" t="s">
        <v>725</v>
      </c>
      <c r="C885" s="222"/>
      <c r="D885" s="60"/>
      <c r="E885" s="171"/>
      <c r="F885" s="60"/>
      <c r="G885" s="62"/>
    </row>
    <row r="886" spans="1:7" ht="15.75">
      <c r="A886" s="171">
        <v>1</v>
      </c>
      <c r="B886" s="155" t="s">
        <v>34</v>
      </c>
      <c r="C886" s="76"/>
      <c r="D886" s="60"/>
      <c r="E886" s="171"/>
      <c r="F886" s="60"/>
      <c r="G886" s="62"/>
    </row>
    <row r="887" spans="1:7" ht="26.25">
      <c r="A887" s="171"/>
      <c r="B887" s="89" t="s">
        <v>855</v>
      </c>
      <c r="C887" s="74" t="s">
        <v>127</v>
      </c>
      <c r="D887" s="87" t="s">
        <v>286</v>
      </c>
      <c r="E887" s="171"/>
      <c r="F887" s="95">
        <f>151600-27333</f>
        <v>124267</v>
      </c>
      <c r="G887" s="62">
        <f>F887</f>
        <v>124267</v>
      </c>
    </row>
    <row r="888" spans="1:7" ht="15.75">
      <c r="A888" s="171">
        <v>2</v>
      </c>
      <c r="B888" s="155" t="s">
        <v>35</v>
      </c>
      <c r="C888" s="76"/>
      <c r="D888" s="60"/>
      <c r="E888" s="171"/>
      <c r="F888" s="60"/>
      <c r="G888" s="62"/>
    </row>
    <row r="889" spans="1:7" ht="43.5" customHeight="1">
      <c r="A889" s="171"/>
      <c r="B889" s="89" t="s">
        <v>302</v>
      </c>
      <c r="C889" s="74" t="s">
        <v>287</v>
      </c>
      <c r="D889" s="74" t="s">
        <v>148</v>
      </c>
      <c r="E889" s="171"/>
      <c r="F889" s="96">
        <v>388</v>
      </c>
      <c r="G889" s="59">
        <f>F889</f>
        <v>388</v>
      </c>
    </row>
    <row r="890" spans="1:7" ht="15.75">
      <c r="A890" s="171">
        <v>3</v>
      </c>
      <c r="B890" s="155" t="s">
        <v>36</v>
      </c>
      <c r="C890" s="76"/>
      <c r="D890" s="60"/>
      <c r="E890" s="171"/>
      <c r="F890" s="60"/>
      <c r="G890" s="62"/>
    </row>
    <row r="891" spans="1:7" ht="42">
      <c r="A891" s="171"/>
      <c r="B891" s="89" t="s">
        <v>303</v>
      </c>
      <c r="C891" s="74" t="s">
        <v>132</v>
      </c>
      <c r="D891" s="74" t="s">
        <v>144</v>
      </c>
      <c r="E891" s="171"/>
      <c r="F891" s="95">
        <f>F887/F889</f>
        <v>320.2757731958763</v>
      </c>
      <c r="G891" s="62">
        <f>F891</f>
        <v>320.2757731958763</v>
      </c>
    </row>
    <row r="892" spans="1:7" ht="15.75">
      <c r="A892" s="171">
        <v>4</v>
      </c>
      <c r="B892" s="155" t="s">
        <v>37</v>
      </c>
      <c r="C892" s="76"/>
      <c r="D892" s="60"/>
      <c r="E892" s="171"/>
      <c r="F892" s="60"/>
      <c r="G892" s="62"/>
    </row>
    <row r="893" spans="1:7" ht="39">
      <c r="A893" s="171"/>
      <c r="B893" s="89" t="s">
        <v>304</v>
      </c>
      <c r="C893" s="74" t="s">
        <v>160</v>
      </c>
      <c r="D893" s="74" t="s">
        <v>144</v>
      </c>
      <c r="E893" s="171"/>
      <c r="F893" s="60">
        <v>100</v>
      </c>
      <c r="G893" s="62">
        <f>F893</f>
        <v>100</v>
      </c>
    </row>
    <row r="894" spans="1:7" ht="34.5" customHeight="1">
      <c r="A894" s="171"/>
      <c r="B894" s="209" t="s">
        <v>726</v>
      </c>
      <c r="C894" s="222"/>
      <c r="D894" s="87"/>
      <c r="E894" s="171"/>
      <c r="F894" s="171"/>
      <c r="G894" s="62"/>
    </row>
    <row r="895" spans="1:7" ht="15.75">
      <c r="A895" s="171">
        <v>1</v>
      </c>
      <c r="B895" s="155" t="s">
        <v>34</v>
      </c>
      <c r="C895" s="76"/>
      <c r="D895" s="60"/>
      <c r="E895" s="171"/>
      <c r="F895" s="171"/>
      <c r="G895" s="62"/>
    </row>
    <row r="896" spans="1:7" ht="39">
      <c r="A896" s="171"/>
      <c r="B896" s="89" t="s">
        <v>305</v>
      </c>
      <c r="C896" s="74" t="s">
        <v>127</v>
      </c>
      <c r="D896" s="87" t="s">
        <v>286</v>
      </c>
      <c r="E896" s="171"/>
      <c r="F896" s="95">
        <f>1000000</f>
        <v>1000000</v>
      </c>
      <c r="G896" s="62">
        <f>F896</f>
        <v>1000000</v>
      </c>
    </row>
    <row r="897" spans="1:7" ht="15.75">
      <c r="A897" s="171">
        <v>2</v>
      </c>
      <c r="B897" s="155" t="s">
        <v>35</v>
      </c>
      <c r="C897" s="76"/>
      <c r="D897" s="60"/>
      <c r="E897" s="171"/>
      <c r="F897" s="60"/>
      <c r="G897" s="62"/>
    </row>
    <row r="898" spans="1:7" ht="39">
      <c r="A898" s="171"/>
      <c r="B898" s="89" t="s">
        <v>306</v>
      </c>
      <c r="C898" s="74" t="s">
        <v>287</v>
      </c>
      <c r="D898" s="74" t="s">
        <v>148</v>
      </c>
      <c r="E898" s="171"/>
      <c r="F898" s="93">
        <f>F896/F900</f>
        <v>400</v>
      </c>
      <c r="G898" s="78">
        <f>F898</f>
        <v>400</v>
      </c>
    </row>
    <row r="899" spans="1:7" ht="15.75">
      <c r="A899" s="171">
        <v>3</v>
      </c>
      <c r="B899" s="155" t="s">
        <v>36</v>
      </c>
      <c r="C899" s="76"/>
      <c r="D899" s="60"/>
      <c r="E899" s="171"/>
      <c r="F899" s="60"/>
      <c r="G899" s="62"/>
    </row>
    <row r="900" spans="1:7" ht="42">
      <c r="A900" s="171"/>
      <c r="B900" s="89" t="s">
        <v>856</v>
      </c>
      <c r="C900" s="74" t="s">
        <v>132</v>
      </c>
      <c r="D900" s="74" t="s">
        <v>144</v>
      </c>
      <c r="E900" s="171"/>
      <c r="F900" s="95">
        <v>2500</v>
      </c>
      <c r="G900" s="62">
        <f>F900</f>
        <v>2500</v>
      </c>
    </row>
    <row r="901" spans="1:7" ht="15.75">
      <c r="A901" s="171">
        <v>4</v>
      </c>
      <c r="B901" s="155" t="s">
        <v>37</v>
      </c>
      <c r="C901" s="76"/>
      <c r="D901" s="60"/>
      <c r="E901" s="171"/>
      <c r="F901" s="60"/>
      <c r="G901" s="62"/>
    </row>
    <row r="902" spans="1:7" ht="39">
      <c r="A902" s="171"/>
      <c r="B902" s="89" t="s">
        <v>307</v>
      </c>
      <c r="C902" s="74" t="s">
        <v>160</v>
      </c>
      <c r="D902" s="74" t="s">
        <v>144</v>
      </c>
      <c r="E902" s="171"/>
      <c r="F902" s="60">
        <v>100</v>
      </c>
      <c r="G902" s="62">
        <f>F902</f>
        <v>100</v>
      </c>
    </row>
    <row r="903" spans="1:7" ht="33" customHeight="1">
      <c r="A903" s="171"/>
      <c r="B903" s="209" t="s">
        <v>727</v>
      </c>
      <c r="C903" s="222"/>
      <c r="D903" s="87"/>
      <c r="E903" s="171"/>
      <c r="F903" s="60"/>
      <c r="G903" s="62"/>
    </row>
    <row r="904" spans="1:7" ht="15.75">
      <c r="A904" s="171">
        <v>1</v>
      </c>
      <c r="B904" s="155" t="s">
        <v>34</v>
      </c>
      <c r="C904" s="76"/>
      <c r="D904" s="60"/>
      <c r="E904" s="171"/>
      <c r="F904" s="60"/>
      <c r="G904" s="62"/>
    </row>
    <row r="905" spans="1:7" ht="40.5" customHeight="1">
      <c r="A905" s="171"/>
      <c r="B905" s="85" t="s">
        <v>308</v>
      </c>
      <c r="C905" s="74" t="s">
        <v>127</v>
      </c>
      <c r="D905" s="87" t="s">
        <v>286</v>
      </c>
      <c r="E905" s="171"/>
      <c r="F905" s="95">
        <v>1213000</v>
      </c>
      <c r="G905" s="62">
        <f>F905</f>
        <v>1213000</v>
      </c>
    </row>
    <row r="906" spans="1:7" ht="15.75">
      <c r="A906" s="171">
        <v>2</v>
      </c>
      <c r="B906" s="155" t="s">
        <v>35</v>
      </c>
      <c r="C906" s="76"/>
      <c r="D906" s="60"/>
      <c r="E906" s="171"/>
      <c r="F906" s="60"/>
      <c r="G906" s="62"/>
    </row>
    <row r="907" spans="1:7" ht="39">
      <c r="A907" s="171"/>
      <c r="B907" s="89" t="s">
        <v>309</v>
      </c>
      <c r="C907" s="74" t="s">
        <v>287</v>
      </c>
      <c r="D907" s="74" t="s">
        <v>148</v>
      </c>
      <c r="E907" s="171"/>
      <c r="F907" s="96">
        <f>F905/F909</f>
        <v>1732.8571428571429</v>
      </c>
      <c r="G907" s="59">
        <f>F907</f>
        <v>1732.8571428571429</v>
      </c>
    </row>
    <row r="908" spans="1:7" ht="15.75">
      <c r="A908" s="171">
        <v>3</v>
      </c>
      <c r="B908" s="155" t="s">
        <v>36</v>
      </c>
      <c r="C908" s="76"/>
      <c r="D908" s="60"/>
      <c r="E908" s="171"/>
      <c r="F908" s="60"/>
      <c r="G908" s="62"/>
    </row>
    <row r="909" spans="1:7" ht="55.5" customHeight="1">
      <c r="A909" s="171"/>
      <c r="B909" s="85" t="s">
        <v>857</v>
      </c>
      <c r="C909" s="74" t="s">
        <v>132</v>
      </c>
      <c r="D909" s="74" t="s">
        <v>144</v>
      </c>
      <c r="E909" s="171"/>
      <c r="F909" s="95">
        <v>700</v>
      </c>
      <c r="G909" s="62">
        <f>F909</f>
        <v>700</v>
      </c>
    </row>
    <row r="910" spans="1:7" ht="15.75">
      <c r="A910" s="171">
        <v>4</v>
      </c>
      <c r="B910" s="155" t="s">
        <v>37</v>
      </c>
      <c r="C910" s="76"/>
      <c r="D910" s="60"/>
      <c r="E910" s="171"/>
      <c r="F910" s="60"/>
      <c r="G910" s="62"/>
    </row>
    <row r="911" spans="1:7" ht="60.75" customHeight="1">
      <c r="A911" s="171"/>
      <c r="B911" s="85" t="s">
        <v>310</v>
      </c>
      <c r="C911" s="87" t="s">
        <v>160</v>
      </c>
      <c r="D911" s="87" t="s">
        <v>144</v>
      </c>
      <c r="E911" s="171"/>
      <c r="F911" s="60">
        <v>100</v>
      </c>
      <c r="G911" s="62">
        <f>F911</f>
        <v>100</v>
      </c>
    </row>
    <row r="912" spans="1:7" ht="38.25" customHeight="1">
      <c r="A912" s="171"/>
      <c r="B912" s="209" t="s">
        <v>728</v>
      </c>
      <c r="C912" s="222"/>
      <c r="D912" s="87"/>
      <c r="E912" s="171"/>
      <c r="F912" s="60"/>
      <c r="G912" s="62"/>
    </row>
    <row r="913" spans="1:7" ht="15.75">
      <c r="A913" s="171">
        <v>1</v>
      </c>
      <c r="B913" s="155" t="s">
        <v>34</v>
      </c>
      <c r="C913" s="76"/>
      <c r="D913" s="60"/>
      <c r="E913" s="171"/>
      <c r="F913" s="60"/>
      <c r="G913" s="62"/>
    </row>
    <row r="914" spans="1:7" ht="52.5" customHeight="1">
      <c r="A914" s="171"/>
      <c r="B914" s="89" t="s">
        <v>311</v>
      </c>
      <c r="C914" s="87" t="s">
        <v>127</v>
      </c>
      <c r="D914" s="87" t="s">
        <v>163</v>
      </c>
      <c r="E914" s="171"/>
      <c r="F914" s="95">
        <f>900000</f>
        <v>900000</v>
      </c>
      <c r="G914" s="62">
        <f>F914</f>
        <v>900000</v>
      </c>
    </row>
    <row r="915" spans="1:7" ht="15.75">
      <c r="A915" s="171">
        <v>2</v>
      </c>
      <c r="B915" s="155" t="s">
        <v>35</v>
      </c>
      <c r="C915" s="76"/>
      <c r="D915" s="60"/>
      <c r="E915" s="171"/>
      <c r="F915" s="60"/>
      <c r="G915" s="62"/>
    </row>
    <row r="916" spans="1:7" ht="62.25" customHeight="1">
      <c r="A916" s="171"/>
      <c r="B916" s="85" t="s">
        <v>312</v>
      </c>
      <c r="C916" s="87" t="s">
        <v>287</v>
      </c>
      <c r="D916" s="87" t="s">
        <v>148</v>
      </c>
      <c r="E916" s="171"/>
      <c r="F916" s="105">
        <f>F914/F918</f>
        <v>1500</v>
      </c>
      <c r="G916" s="62">
        <f>F916</f>
        <v>1500</v>
      </c>
    </row>
    <row r="917" spans="1:7" ht="15.75">
      <c r="A917" s="171">
        <v>3</v>
      </c>
      <c r="B917" s="155" t="s">
        <v>36</v>
      </c>
      <c r="C917" s="76"/>
      <c r="D917" s="60"/>
      <c r="E917" s="171"/>
      <c r="F917" s="60"/>
      <c r="G917" s="62"/>
    </row>
    <row r="918" spans="1:7" ht="57" customHeight="1">
      <c r="A918" s="171"/>
      <c r="B918" s="85" t="s">
        <v>858</v>
      </c>
      <c r="C918" s="87" t="s">
        <v>132</v>
      </c>
      <c r="D918" s="87" t="s">
        <v>144</v>
      </c>
      <c r="E918" s="171"/>
      <c r="F918" s="95">
        <v>600</v>
      </c>
      <c r="G918" s="62">
        <f>F918</f>
        <v>600</v>
      </c>
    </row>
    <row r="919" spans="1:7" ht="15.75">
      <c r="A919" s="171">
        <v>4</v>
      </c>
      <c r="B919" s="155" t="s">
        <v>37</v>
      </c>
      <c r="C919" s="76"/>
      <c r="D919" s="60"/>
      <c r="E919" s="171"/>
      <c r="F919" s="60"/>
      <c r="G919" s="62"/>
    </row>
    <row r="920" spans="1:7" ht="51" customHeight="1">
      <c r="A920" s="171"/>
      <c r="B920" s="85" t="s">
        <v>313</v>
      </c>
      <c r="C920" s="87" t="s">
        <v>160</v>
      </c>
      <c r="D920" s="87" t="s">
        <v>144</v>
      </c>
      <c r="E920" s="171"/>
      <c r="F920" s="60">
        <v>100</v>
      </c>
      <c r="G920" s="62">
        <f>F920</f>
        <v>100</v>
      </c>
    </row>
    <row r="921" spans="1:7" ht="33.75" customHeight="1">
      <c r="A921" s="171"/>
      <c r="B921" s="209" t="s">
        <v>729</v>
      </c>
      <c r="C921" s="222"/>
      <c r="D921" s="87"/>
      <c r="E921" s="171"/>
      <c r="F921" s="60"/>
      <c r="G921" s="62">
        <f>F921</f>
        <v>0</v>
      </c>
    </row>
    <row r="922" spans="1:7" ht="15.75">
      <c r="A922" s="171">
        <v>1</v>
      </c>
      <c r="B922" s="155" t="s">
        <v>34</v>
      </c>
      <c r="C922" s="87"/>
      <c r="D922" s="87"/>
      <c r="E922" s="171"/>
      <c r="F922" s="60"/>
      <c r="G922" s="62">
        <f>F922</f>
        <v>0</v>
      </c>
    </row>
    <row r="923" spans="1:7" ht="39">
      <c r="A923" s="171"/>
      <c r="B923" s="89" t="s">
        <v>314</v>
      </c>
      <c r="C923" s="87" t="s">
        <v>127</v>
      </c>
      <c r="D923" s="87" t="s">
        <v>286</v>
      </c>
      <c r="E923" s="171"/>
      <c r="F923" s="95">
        <f>655000</f>
        <v>655000</v>
      </c>
      <c r="G923" s="62">
        <f>F923</f>
        <v>655000</v>
      </c>
    </row>
    <row r="924" spans="1:7" ht="15.75">
      <c r="A924" s="171">
        <v>2</v>
      </c>
      <c r="B924" s="155" t="s">
        <v>35</v>
      </c>
      <c r="C924" s="76"/>
      <c r="D924" s="60"/>
      <c r="E924" s="171"/>
      <c r="F924" s="60"/>
      <c r="G924" s="62"/>
    </row>
    <row r="925" spans="1:7" ht="39">
      <c r="A925" s="171"/>
      <c r="B925" s="89" t="s">
        <v>315</v>
      </c>
      <c r="C925" s="87" t="s">
        <v>287</v>
      </c>
      <c r="D925" s="87" t="s">
        <v>148</v>
      </c>
      <c r="E925" s="171"/>
      <c r="F925" s="105">
        <f>F923/F927</f>
        <v>899.99725191678806</v>
      </c>
      <c r="G925" s="62">
        <f>F925</f>
        <v>899.99725191678806</v>
      </c>
    </row>
    <row r="926" spans="1:7" ht="15.75">
      <c r="A926" s="171">
        <v>3</v>
      </c>
      <c r="B926" s="155" t="s">
        <v>36</v>
      </c>
      <c r="C926" s="76"/>
      <c r="D926" s="60"/>
      <c r="E926" s="171"/>
      <c r="F926" s="60"/>
      <c r="G926" s="62"/>
    </row>
    <row r="927" spans="1:7" ht="42">
      <c r="A927" s="171"/>
      <c r="B927" s="89" t="s">
        <v>316</v>
      </c>
      <c r="C927" s="87" t="s">
        <v>132</v>
      </c>
      <c r="D927" s="87" t="s">
        <v>144</v>
      </c>
      <c r="E927" s="171"/>
      <c r="F927" s="96">
        <v>727.78</v>
      </c>
      <c r="G927" s="59">
        <f>F927</f>
        <v>727.78</v>
      </c>
    </row>
    <row r="928" spans="1:7" ht="15.75">
      <c r="A928" s="171">
        <v>4</v>
      </c>
      <c r="B928" s="155" t="s">
        <v>37</v>
      </c>
      <c r="C928" s="76"/>
      <c r="D928" s="60"/>
      <c r="E928" s="171"/>
      <c r="F928" s="60"/>
      <c r="G928" s="62"/>
    </row>
    <row r="929" spans="1:7" ht="39">
      <c r="A929" s="171"/>
      <c r="B929" s="89" t="s">
        <v>317</v>
      </c>
      <c r="C929" s="87" t="s">
        <v>160</v>
      </c>
      <c r="D929" s="87" t="s">
        <v>144</v>
      </c>
      <c r="E929" s="171"/>
      <c r="F929" s="60">
        <v>100</v>
      </c>
      <c r="G929" s="62">
        <f>F929</f>
        <v>100</v>
      </c>
    </row>
    <row r="930" spans="1:7" ht="32.25" customHeight="1">
      <c r="A930" s="171"/>
      <c r="B930" s="209" t="s">
        <v>730</v>
      </c>
      <c r="C930" s="222"/>
      <c r="D930" s="87"/>
      <c r="E930" s="171"/>
      <c r="F930" s="60"/>
      <c r="G930" s="62"/>
    </row>
    <row r="931" spans="1:7" ht="15.75">
      <c r="A931" s="171">
        <v>1</v>
      </c>
      <c r="B931" s="155" t="s">
        <v>34</v>
      </c>
      <c r="C931" s="87"/>
      <c r="D931" s="87"/>
      <c r="E931" s="171"/>
      <c r="F931" s="60"/>
      <c r="G931" s="62"/>
    </row>
    <row r="932" spans="1:7" ht="39">
      <c r="A932" s="171"/>
      <c r="B932" s="89" t="s">
        <v>318</v>
      </c>
      <c r="C932" s="87" t="s">
        <v>127</v>
      </c>
      <c r="D932" s="87" t="s">
        <v>286</v>
      </c>
      <c r="E932" s="171"/>
      <c r="F932" s="95">
        <f>971000</f>
        <v>971000</v>
      </c>
      <c r="G932" s="62">
        <f>F932</f>
        <v>971000</v>
      </c>
    </row>
    <row r="933" spans="1:7" ht="15.75">
      <c r="A933" s="171">
        <v>2</v>
      </c>
      <c r="B933" s="155" t="s">
        <v>35</v>
      </c>
      <c r="C933" s="76"/>
      <c r="D933" s="60"/>
      <c r="E933" s="171"/>
      <c r="F933" s="60"/>
      <c r="G933" s="62"/>
    </row>
    <row r="934" spans="1:7" ht="39">
      <c r="A934" s="171"/>
      <c r="B934" s="89" t="s">
        <v>319</v>
      </c>
      <c r="C934" s="87" t="s">
        <v>287</v>
      </c>
      <c r="D934" s="87" t="s">
        <v>148</v>
      </c>
      <c r="E934" s="171"/>
      <c r="F934" s="105">
        <f>F932/F936</f>
        <v>1387.1428571428571</v>
      </c>
      <c r="G934" s="62">
        <f>F934</f>
        <v>1387.1428571428571</v>
      </c>
    </row>
    <row r="935" spans="1:7" ht="15.75">
      <c r="A935" s="171">
        <v>3</v>
      </c>
      <c r="B935" s="155" t="s">
        <v>36</v>
      </c>
      <c r="C935" s="76"/>
      <c r="D935" s="60"/>
      <c r="E935" s="171"/>
      <c r="F935" s="60"/>
      <c r="G935" s="62"/>
    </row>
    <row r="936" spans="1:7" ht="42">
      <c r="A936" s="171"/>
      <c r="B936" s="89" t="s">
        <v>320</v>
      </c>
      <c r="C936" s="87" t="s">
        <v>132</v>
      </c>
      <c r="D936" s="87" t="s">
        <v>144</v>
      </c>
      <c r="E936" s="171"/>
      <c r="F936" s="96">
        <v>700</v>
      </c>
      <c r="G936" s="59">
        <f>F936</f>
        <v>700</v>
      </c>
    </row>
    <row r="937" spans="1:7" ht="15.75">
      <c r="A937" s="171">
        <v>4</v>
      </c>
      <c r="B937" s="155" t="s">
        <v>37</v>
      </c>
      <c r="C937" s="76"/>
      <c r="D937" s="60"/>
      <c r="E937" s="171"/>
      <c r="F937" s="60"/>
      <c r="G937" s="62"/>
    </row>
    <row r="938" spans="1:7" ht="39">
      <c r="A938" s="171"/>
      <c r="B938" s="89" t="s">
        <v>321</v>
      </c>
      <c r="C938" s="87" t="s">
        <v>160</v>
      </c>
      <c r="D938" s="87" t="s">
        <v>144</v>
      </c>
      <c r="E938" s="171"/>
      <c r="F938" s="60">
        <v>100</v>
      </c>
      <c r="G938" s="62">
        <f>F938</f>
        <v>100</v>
      </c>
    </row>
    <row r="939" spans="1:7" ht="36" customHeight="1">
      <c r="A939" s="171"/>
      <c r="B939" s="209" t="s">
        <v>731</v>
      </c>
      <c r="C939" s="222"/>
      <c r="D939" s="87"/>
      <c r="E939" s="171"/>
      <c r="F939" s="60"/>
      <c r="G939" s="62"/>
    </row>
    <row r="940" spans="1:7" ht="15.75">
      <c r="A940" s="171">
        <v>1</v>
      </c>
      <c r="B940" s="155" t="s">
        <v>34</v>
      </c>
      <c r="C940" s="76"/>
      <c r="D940" s="60"/>
      <c r="E940" s="171"/>
      <c r="F940" s="60"/>
      <c r="G940" s="62"/>
    </row>
    <row r="941" spans="1:7" ht="26.25">
      <c r="A941" s="171"/>
      <c r="B941" s="89" t="s">
        <v>322</v>
      </c>
      <c r="C941" s="87" t="s">
        <v>127</v>
      </c>
      <c r="D941" s="87" t="s">
        <v>163</v>
      </c>
      <c r="E941" s="171"/>
      <c r="F941" s="90">
        <f>780000-250000</f>
        <v>530000</v>
      </c>
      <c r="G941" s="62">
        <f>F941</f>
        <v>530000</v>
      </c>
    </row>
    <row r="942" spans="1:7" ht="15.75">
      <c r="A942" s="171">
        <v>2</v>
      </c>
      <c r="B942" s="155" t="s">
        <v>35</v>
      </c>
      <c r="C942" s="76"/>
      <c r="D942" s="60"/>
      <c r="E942" s="171"/>
      <c r="F942" s="60"/>
      <c r="G942" s="62"/>
    </row>
    <row r="943" spans="1:7" ht="39">
      <c r="A943" s="171"/>
      <c r="B943" s="89" t="s">
        <v>323</v>
      </c>
      <c r="C943" s="87" t="s">
        <v>287</v>
      </c>
      <c r="D943" s="87" t="s">
        <v>148</v>
      </c>
      <c r="E943" s="171"/>
      <c r="F943" s="105">
        <f>F941/F945</f>
        <v>481.81818181818181</v>
      </c>
      <c r="G943" s="62">
        <f>F943</f>
        <v>481.81818181818181</v>
      </c>
    </row>
    <row r="944" spans="1:7" ht="15.75">
      <c r="A944" s="171">
        <v>3</v>
      </c>
      <c r="B944" s="155" t="s">
        <v>36</v>
      </c>
      <c r="C944" s="76"/>
      <c r="D944" s="60"/>
      <c r="E944" s="171"/>
      <c r="F944" s="60"/>
      <c r="G944" s="62"/>
    </row>
    <row r="945" spans="1:7" ht="42">
      <c r="A945" s="171"/>
      <c r="B945" s="89" t="s">
        <v>324</v>
      </c>
      <c r="C945" s="87" t="s">
        <v>132</v>
      </c>
      <c r="D945" s="87" t="s">
        <v>144</v>
      </c>
      <c r="E945" s="171"/>
      <c r="F945" s="60">
        <v>1100</v>
      </c>
      <c r="G945" s="62">
        <f>F945</f>
        <v>1100</v>
      </c>
    </row>
    <row r="946" spans="1:7" ht="15.75">
      <c r="A946" s="171">
        <v>4</v>
      </c>
      <c r="B946" s="155" t="s">
        <v>37</v>
      </c>
      <c r="C946" s="76"/>
      <c r="D946" s="60"/>
      <c r="E946" s="171"/>
      <c r="F946" s="60"/>
      <c r="G946" s="62"/>
    </row>
    <row r="947" spans="1:7" ht="39">
      <c r="A947" s="171"/>
      <c r="B947" s="89" t="s">
        <v>325</v>
      </c>
      <c r="C947" s="87" t="s">
        <v>160</v>
      </c>
      <c r="D947" s="87" t="s">
        <v>144</v>
      </c>
      <c r="E947" s="171"/>
      <c r="F947" s="60">
        <v>100</v>
      </c>
      <c r="G947" s="62">
        <f>F947</f>
        <v>100</v>
      </c>
    </row>
    <row r="948" spans="1:7" ht="36" customHeight="1">
      <c r="A948" s="171"/>
      <c r="B948" s="223" t="s">
        <v>996</v>
      </c>
      <c r="C948" s="215"/>
      <c r="D948" s="60"/>
      <c r="E948" s="171"/>
      <c r="F948" s="60"/>
      <c r="G948" s="62"/>
    </row>
    <row r="949" spans="1:7" ht="15.75">
      <c r="A949" s="171">
        <v>1</v>
      </c>
      <c r="B949" s="155" t="s">
        <v>34</v>
      </c>
      <c r="C949" s="76"/>
      <c r="D949" s="60"/>
      <c r="E949" s="171"/>
      <c r="F949" s="60"/>
      <c r="G949" s="62"/>
    </row>
    <row r="950" spans="1:7" ht="26.25">
      <c r="A950" s="171"/>
      <c r="B950" s="89" t="s">
        <v>326</v>
      </c>
      <c r="C950" s="87" t="s">
        <v>132</v>
      </c>
      <c r="D950" s="87" t="s">
        <v>286</v>
      </c>
      <c r="E950" s="171"/>
      <c r="F950" s="95">
        <f>359300</f>
        <v>359300</v>
      </c>
      <c r="G950" s="62">
        <f>F950</f>
        <v>359300</v>
      </c>
    </row>
    <row r="951" spans="1:7" ht="15.75">
      <c r="A951" s="171">
        <v>2</v>
      </c>
      <c r="B951" s="155" t="s">
        <v>35</v>
      </c>
      <c r="C951" s="76"/>
      <c r="D951" s="60"/>
      <c r="E951" s="171"/>
      <c r="F951" s="60"/>
      <c r="G951" s="62"/>
    </row>
    <row r="952" spans="1:7" ht="39">
      <c r="A952" s="171"/>
      <c r="B952" s="89" t="s">
        <v>327</v>
      </c>
      <c r="C952" s="87" t="s">
        <v>287</v>
      </c>
      <c r="D952" s="87" t="s">
        <v>148</v>
      </c>
      <c r="E952" s="171"/>
      <c r="F952" s="96">
        <f>F950/F954</f>
        <v>513.28571428571433</v>
      </c>
      <c r="G952" s="59">
        <f>F952</f>
        <v>513.28571428571433</v>
      </c>
    </row>
    <row r="953" spans="1:7" ht="15.75">
      <c r="A953" s="171">
        <v>3</v>
      </c>
      <c r="B953" s="155" t="s">
        <v>36</v>
      </c>
      <c r="C953" s="76"/>
      <c r="D953" s="60"/>
      <c r="E953" s="171"/>
      <c r="F953" s="60"/>
      <c r="G953" s="62"/>
    </row>
    <row r="954" spans="1:7" ht="42">
      <c r="A954" s="171"/>
      <c r="B954" s="89" t="s">
        <v>328</v>
      </c>
      <c r="C954" s="87" t="s">
        <v>132</v>
      </c>
      <c r="D954" s="87" t="s">
        <v>144</v>
      </c>
      <c r="E954" s="171"/>
      <c r="F954" s="60">
        <v>700</v>
      </c>
      <c r="G954" s="62">
        <f>F954</f>
        <v>700</v>
      </c>
    </row>
    <row r="955" spans="1:7" ht="15.75">
      <c r="A955" s="171">
        <v>4</v>
      </c>
      <c r="B955" s="155" t="s">
        <v>37</v>
      </c>
      <c r="C955" s="76"/>
      <c r="D955" s="60"/>
      <c r="E955" s="171"/>
      <c r="F955" s="60"/>
      <c r="G955" s="62"/>
    </row>
    <row r="956" spans="1:7" ht="39">
      <c r="A956" s="171"/>
      <c r="B956" s="89" t="s">
        <v>329</v>
      </c>
      <c r="C956" s="87" t="s">
        <v>160</v>
      </c>
      <c r="D956" s="87" t="s">
        <v>156</v>
      </c>
      <c r="E956" s="171"/>
      <c r="F956" s="60">
        <v>100</v>
      </c>
      <c r="G956" s="62">
        <f>F956</f>
        <v>100</v>
      </c>
    </row>
    <row r="957" spans="1:7" ht="34.5" customHeight="1">
      <c r="A957" s="171"/>
      <c r="B957" s="224" t="s">
        <v>997</v>
      </c>
      <c r="C957" s="225"/>
      <c r="D957" s="60"/>
      <c r="E957" s="171"/>
      <c r="F957" s="60"/>
      <c r="G957" s="62"/>
    </row>
    <row r="958" spans="1:7" ht="15.75">
      <c r="A958" s="171">
        <v>1</v>
      </c>
      <c r="B958" s="155" t="s">
        <v>34</v>
      </c>
      <c r="C958" s="76"/>
      <c r="D958" s="60"/>
      <c r="E958" s="171"/>
      <c r="F958" s="60"/>
      <c r="G958" s="62"/>
    </row>
    <row r="959" spans="1:7" ht="26.25">
      <c r="A959" s="171"/>
      <c r="B959" s="89" t="s">
        <v>678</v>
      </c>
      <c r="C959" s="74" t="s">
        <v>127</v>
      </c>
      <c r="D959" s="87" t="s">
        <v>286</v>
      </c>
      <c r="E959" s="171"/>
      <c r="F959" s="90">
        <f>200000+99000</f>
        <v>299000</v>
      </c>
      <c r="G959" s="62">
        <f>F959</f>
        <v>299000</v>
      </c>
    </row>
    <row r="960" spans="1:7" ht="15.75">
      <c r="A960" s="171">
        <v>2</v>
      </c>
      <c r="B960" s="155" t="s">
        <v>35</v>
      </c>
      <c r="C960" s="76"/>
      <c r="D960" s="60"/>
      <c r="E960" s="171"/>
      <c r="F960" s="60"/>
      <c r="G960" s="62"/>
    </row>
    <row r="961" spans="1:7" ht="38.25">
      <c r="A961" s="171"/>
      <c r="B961" s="106" t="s">
        <v>680</v>
      </c>
      <c r="C961" s="76" t="s">
        <v>598</v>
      </c>
      <c r="D961" s="87" t="s">
        <v>144</v>
      </c>
      <c r="E961" s="171"/>
      <c r="F961" s="60">
        <v>1</v>
      </c>
      <c r="G961" s="62">
        <f>F961</f>
        <v>1</v>
      </c>
    </row>
    <row r="962" spans="1:7" ht="25.5">
      <c r="A962" s="171"/>
      <c r="B962" s="85" t="s">
        <v>675</v>
      </c>
      <c r="C962" s="74" t="s">
        <v>287</v>
      </c>
      <c r="D962" s="74" t="s">
        <v>148</v>
      </c>
      <c r="E962" s="171"/>
      <c r="F962" s="96">
        <f>(F959-F964)/F965</f>
        <v>131.36363636363637</v>
      </c>
      <c r="G962" s="59">
        <f>F962</f>
        <v>131.36363636363637</v>
      </c>
    </row>
    <row r="963" spans="1:7" ht="15.75">
      <c r="A963" s="171">
        <v>3</v>
      </c>
      <c r="B963" s="155" t="s">
        <v>36</v>
      </c>
      <c r="C963" s="76"/>
      <c r="D963" s="60"/>
      <c r="E963" s="171"/>
      <c r="F963" s="60"/>
      <c r="G963" s="62"/>
    </row>
    <row r="964" spans="1:7" ht="38.25">
      <c r="A964" s="171"/>
      <c r="B964" s="85" t="s">
        <v>676</v>
      </c>
      <c r="C964" s="74" t="s">
        <v>132</v>
      </c>
      <c r="D964" s="127" t="s">
        <v>144</v>
      </c>
      <c r="E964" s="171"/>
      <c r="F964" s="90">
        <v>10000</v>
      </c>
      <c r="G964" s="62">
        <f>F964</f>
        <v>10000</v>
      </c>
    </row>
    <row r="965" spans="1:7" ht="25.5">
      <c r="A965" s="171"/>
      <c r="B965" s="85" t="s">
        <v>677</v>
      </c>
      <c r="C965" s="74" t="s">
        <v>132</v>
      </c>
      <c r="D965" s="74" t="s">
        <v>144</v>
      </c>
      <c r="E965" s="171"/>
      <c r="F965" s="90">
        <v>2200</v>
      </c>
      <c r="G965" s="62">
        <f>F965</f>
        <v>2200</v>
      </c>
    </row>
    <row r="966" spans="1:7" ht="15.75">
      <c r="A966" s="171">
        <v>4</v>
      </c>
      <c r="B966" s="155" t="s">
        <v>37</v>
      </c>
      <c r="C966" s="76"/>
      <c r="D966" s="60"/>
      <c r="E966" s="171"/>
      <c r="F966" s="60"/>
      <c r="G966" s="62"/>
    </row>
    <row r="967" spans="1:7" ht="39">
      <c r="A967" s="171"/>
      <c r="B967" s="89" t="s">
        <v>679</v>
      </c>
      <c r="C967" s="74" t="s">
        <v>160</v>
      </c>
      <c r="D967" s="87" t="s">
        <v>156</v>
      </c>
      <c r="E967" s="171"/>
      <c r="F967" s="60">
        <v>100</v>
      </c>
      <c r="G967" s="62">
        <f>F967</f>
        <v>100</v>
      </c>
    </row>
    <row r="968" spans="1:7" ht="27.75" customHeight="1">
      <c r="A968" s="171"/>
      <c r="B968" s="223" t="s">
        <v>998</v>
      </c>
      <c r="C968" s="215"/>
      <c r="D968" s="60"/>
      <c r="E968" s="171"/>
      <c r="F968" s="60"/>
      <c r="G968" s="62"/>
    </row>
    <row r="969" spans="1:7" ht="15.75">
      <c r="A969" s="171">
        <v>1</v>
      </c>
      <c r="B969" s="155" t="s">
        <v>34</v>
      </c>
      <c r="C969" s="76"/>
      <c r="D969" s="60"/>
      <c r="E969" s="171"/>
      <c r="F969" s="60"/>
      <c r="G969" s="62"/>
    </row>
    <row r="970" spans="1:7" ht="26.25">
      <c r="A970" s="171"/>
      <c r="B970" s="89" t="s">
        <v>413</v>
      </c>
      <c r="C970" s="87" t="s">
        <v>127</v>
      </c>
      <c r="D970" s="87" t="s">
        <v>286</v>
      </c>
      <c r="E970" s="171"/>
      <c r="F970" s="98">
        <f>965000</f>
        <v>965000</v>
      </c>
      <c r="G970" s="62">
        <f>F970</f>
        <v>965000</v>
      </c>
    </row>
    <row r="971" spans="1:7" ht="15.75">
      <c r="A971" s="171">
        <v>2</v>
      </c>
      <c r="B971" s="155" t="s">
        <v>35</v>
      </c>
      <c r="C971" s="76"/>
      <c r="D971" s="60"/>
      <c r="E971" s="171"/>
      <c r="F971" s="86"/>
      <c r="G971" s="62"/>
    </row>
    <row r="972" spans="1:7" ht="39">
      <c r="A972" s="171"/>
      <c r="B972" s="89" t="s">
        <v>414</v>
      </c>
      <c r="C972" s="87" t="s">
        <v>287</v>
      </c>
      <c r="D972" s="87" t="s">
        <v>148</v>
      </c>
      <c r="E972" s="171"/>
      <c r="F972" s="97">
        <f>F970/F974</f>
        <v>1340.2777777777778</v>
      </c>
      <c r="G972" s="78">
        <f>F972</f>
        <v>1340.2777777777778</v>
      </c>
    </row>
    <row r="973" spans="1:7" ht="15.75">
      <c r="A973" s="171">
        <v>3</v>
      </c>
      <c r="B973" s="155" t="s">
        <v>36</v>
      </c>
      <c r="C973" s="76"/>
      <c r="D973" s="60"/>
      <c r="E973" s="171"/>
      <c r="F973" s="86"/>
      <c r="G973" s="62"/>
    </row>
    <row r="974" spans="1:7" ht="29.25">
      <c r="A974" s="171"/>
      <c r="B974" s="89" t="s">
        <v>415</v>
      </c>
      <c r="C974" s="87" t="s">
        <v>132</v>
      </c>
      <c r="D974" s="87" t="s">
        <v>144</v>
      </c>
      <c r="E974" s="171"/>
      <c r="F974" s="98">
        <v>720</v>
      </c>
      <c r="G974" s="62">
        <f>F974</f>
        <v>720</v>
      </c>
    </row>
    <row r="975" spans="1:7" ht="15.75">
      <c r="A975" s="171">
        <v>4</v>
      </c>
      <c r="B975" s="155" t="s">
        <v>37</v>
      </c>
      <c r="C975" s="76"/>
      <c r="D975" s="60"/>
      <c r="E975" s="171"/>
      <c r="F975" s="86"/>
      <c r="G975" s="62"/>
    </row>
    <row r="976" spans="1:7" ht="26.25">
      <c r="A976" s="171"/>
      <c r="B976" s="89" t="s">
        <v>416</v>
      </c>
      <c r="C976" s="87" t="s">
        <v>160</v>
      </c>
      <c r="D976" s="74" t="s">
        <v>156</v>
      </c>
      <c r="E976" s="171"/>
      <c r="F976" s="86">
        <v>100</v>
      </c>
      <c r="G976" s="62">
        <f>F976</f>
        <v>100</v>
      </c>
    </row>
    <row r="977" spans="1:7" ht="34.5" customHeight="1">
      <c r="A977" s="171"/>
      <c r="B977" s="209" t="s">
        <v>999</v>
      </c>
      <c r="C977" s="222"/>
      <c r="D977" s="87"/>
      <c r="E977" s="171"/>
      <c r="F977" s="60"/>
      <c r="G977" s="62"/>
    </row>
    <row r="978" spans="1:7" ht="15.75">
      <c r="A978" s="171">
        <v>1</v>
      </c>
      <c r="B978" s="155" t="s">
        <v>34</v>
      </c>
      <c r="C978" s="76"/>
      <c r="D978" s="60"/>
      <c r="E978" s="171"/>
      <c r="F978" s="60"/>
      <c r="G978" s="62"/>
    </row>
    <row r="979" spans="1:7" ht="26.25">
      <c r="A979" s="171"/>
      <c r="B979" s="89" t="s">
        <v>333</v>
      </c>
      <c r="C979" s="87" t="s">
        <v>127</v>
      </c>
      <c r="D979" s="87" t="s">
        <v>286</v>
      </c>
      <c r="E979" s="171"/>
      <c r="F979" s="103">
        <f>780000</f>
        <v>780000</v>
      </c>
      <c r="G979" s="102">
        <f>F979</f>
        <v>780000</v>
      </c>
    </row>
    <row r="980" spans="1:7" ht="15.75">
      <c r="A980" s="171">
        <v>2</v>
      </c>
      <c r="B980" s="155" t="s">
        <v>35</v>
      </c>
      <c r="C980" s="76"/>
      <c r="D980" s="60"/>
      <c r="E980" s="171"/>
      <c r="F980" s="60"/>
      <c r="G980" s="62"/>
    </row>
    <row r="981" spans="1:7" ht="39">
      <c r="A981" s="171"/>
      <c r="B981" s="89" t="s">
        <v>334</v>
      </c>
      <c r="C981" s="87" t="s">
        <v>287</v>
      </c>
      <c r="D981" s="74" t="s">
        <v>148</v>
      </c>
      <c r="E981" s="171"/>
      <c r="F981" s="93">
        <f>F979/F983</f>
        <v>1322.0338983050847</v>
      </c>
      <c r="G981" s="62">
        <f>F981</f>
        <v>1322.0338983050847</v>
      </c>
    </row>
    <row r="982" spans="1:7" ht="15.75">
      <c r="A982" s="171">
        <v>3</v>
      </c>
      <c r="B982" s="155" t="s">
        <v>36</v>
      </c>
      <c r="C982" s="76"/>
      <c r="D982" s="60"/>
      <c r="E982" s="171"/>
      <c r="F982" s="60"/>
      <c r="G982" s="62"/>
    </row>
    <row r="983" spans="1:7" ht="42">
      <c r="A983" s="171"/>
      <c r="B983" s="89" t="s">
        <v>335</v>
      </c>
      <c r="C983" s="87" t="s">
        <v>132</v>
      </c>
      <c r="D983" s="74" t="s">
        <v>144</v>
      </c>
      <c r="E983" s="171"/>
      <c r="F983" s="96">
        <v>590</v>
      </c>
      <c r="G983" s="59">
        <f>F983</f>
        <v>590</v>
      </c>
    </row>
    <row r="984" spans="1:7" ht="15.75">
      <c r="A984" s="171">
        <v>4</v>
      </c>
      <c r="B984" s="155" t="s">
        <v>37</v>
      </c>
      <c r="C984" s="76"/>
      <c r="D984" s="60"/>
      <c r="E984" s="171"/>
      <c r="F984" s="60"/>
      <c r="G984" s="62"/>
    </row>
    <row r="985" spans="1:7" ht="39">
      <c r="A985" s="171"/>
      <c r="B985" s="89" t="s">
        <v>336</v>
      </c>
      <c r="C985" s="87" t="s">
        <v>160</v>
      </c>
      <c r="D985" s="74" t="s">
        <v>156</v>
      </c>
      <c r="E985" s="171"/>
      <c r="F985" s="60">
        <v>100</v>
      </c>
      <c r="G985" s="62">
        <f>F985</f>
        <v>100</v>
      </c>
    </row>
    <row r="986" spans="1:7" ht="31.5" customHeight="1">
      <c r="A986" s="171"/>
      <c r="B986" s="223" t="s">
        <v>1000</v>
      </c>
      <c r="C986" s="215"/>
      <c r="D986" s="60"/>
      <c r="E986" s="171"/>
      <c r="F986" s="60"/>
      <c r="G986" s="62"/>
    </row>
    <row r="987" spans="1:7" ht="15.75">
      <c r="A987" s="171">
        <v>1</v>
      </c>
      <c r="B987" s="155" t="s">
        <v>34</v>
      </c>
      <c r="C987" s="76"/>
      <c r="D987" s="60"/>
      <c r="E987" s="171"/>
      <c r="F987" s="60"/>
      <c r="G987" s="62"/>
    </row>
    <row r="988" spans="1:7" ht="39">
      <c r="A988" s="171"/>
      <c r="B988" s="89" t="s">
        <v>683</v>
      </c>
      <c r="C988" s="87" t="s">
        <v>127</v>
      </c>
      <c r="D988" s="87" t="s">
        <v>286</v>
      </c>
      <c r="E988" s="171"/>
      <c r="F988" s="95">
        <f>220000</f>
        <v>220000</v>
      </c>
      <c r="G988" s="62">
        <f>F988</f>
        <v>220000</v>
      </c>
    </row>
    <row r="989" spans="1:7" ht="15.75">
      <c r="A989" s="171">
        <v>2</v>
      </c>
      <c r="B989" s="155" t="s">
        <v>35</v>
      </c>
      <c r="C989" s="76"/>
      <c r="D989" s="60"/>
      <c r="E989" s="171"/>
      <c r="F989" s="60"/>
      <c r="G989" s="62"/>
    </row>
    <row r="990" spans="1:7" ht="39">
      <c r="A990" s="171"/>
      <c r="B990" s="89" t="s">
        <v>404</v>
      </c>
      <c r="C990" s="87" t="s">
        <v>287</v>
      </c>
      <c r="D990" s="87" t="s">
        <v>148</v>
      </c>
      <c r="E990" s="171"/>
      <c r="F990" s="105">
        <f>F988/F992</f>
        <v>468.08510638297872</v>
      </c>
      <c r="G990" s="62">
        <f>F990</f>
        <v>468.08510638297872</v>
      </c>
    </row>
    <row r="991" spans="1:7" ht="15.75">
      <c r="A991" s="171">
        <v>3</v>
      </c>
      <c r="B991" s="155" t="s">
        <v>36</v>
      </c>
      <c r="C991" s="76"/>
      <c r="D991" s="60"/>
      <c r="E991" s="171"/>
      <c r="F991" s="60"/>
      <c r="G991" s="62"/>
    </row>
    <row r="992" spans="1:7" ht="42">
      <c r="A992" s="171"/>
      <c r="B992" s="89" t="s">
        <v>337</v>
      </c>
      <c r="C992" s="87" t="s">
        <v>132</v>
      </c>
      <c r="D992" s="87" t="s">
        <v>144</v>
      </c>
      <c r="E992" s="171"/>
      <c r="F992" s="60">
        <v>470</v>
      </c>
      <c r="G992" s="62">
        <f>F992</f>
        <v>470</v>
      </c>
    </row>
    <row r="993" spans="1:7" ht="15.75">
      <c r="A993" s="171">
        <v>4</v>
      </c>
      <c r="B993" s="155" t="s">
        <v>37</v>
      </c>
      <c r="C993" s="76"/>
      <c r="D993" s="60"/>
      <c r="E993" s="171"/>
      <c r="F993" s="60"/>
      <c r="G993" s="62"/>
    </row>
    <row r="994" spans="1:7" ht="51" customHeight="1">
      <c r="A994" s="171"/>
      <c r="B994" s="85" t="s">
        <v>684</v>
      </c>
      <c r="C994" s="87" t="s">
        <v>160</v>
      </c>
      <c r="D994" s="87" t="s">
        <v>156</v>
      </c>
      <c r="E994" s="171"/>
      <c r="F994" s="60">
        <v>100</v>
      </c>
      <c r="G994" s="62">
        <f>F994</f>
        <v>100</v>
      </c>
    </row>
    <row r="995" spans="1:7" ht="38.25" customHeight="1">
      <c r="A995" s="171"/>
      <c r="B995" s="209" t="s">
        <v>1001</v>
      </c>
      <c r="C995" s="210"/>
      <c r="D995" s="87"/>
      <c r="E995" s="171"/>
      <c r="F995" s="60"/>
      <c r="G995" s="62"/>
    </row>
    <row r="996" spans="1:7" ht="15.75">
      <c r="A996" s="171">
        <v>1</v>
      </c>
      <c r="B996" s="155" t="s">
        <v>34</v>
      </c>
      <c r="C996" s="76"/>
      <c r="D996" s="60"/>
      <c r="E996" s="171"/>
      <c r="F996" s="60"/>
      <c r="G996" s="62"/>
    </row>
    <row r="997" spans="1:7" ht="38.25">
      <c r="A997" s="171"/>
      <c r="B997" s="85" t="s">
        <v>681</v>
      </c>
      <c r="C997" s="74" t="s">
        <v>127</v>
      </c>
      <c r="D997" s="87" t="s">
        <v>286</v>
      </c>
      <c r="E997" s="171"/>
      <c r="F997" s="90">
        <f>782000</f>
        <v>782000</v>
      </c>
      <c r="G997" s="62">
        <f>F997</f>
        <v>782000</v>
      </c>
    </row>
    <row r="998" spans="1:7" ht="15.75">
      <c r="A998" s="171">
        <v>2</v>
      </c>
      <c r="B998" s="155" t="s">
        <v>35</v>
      </c>
      <c r="C998" s="76"/>
      <c r="D998" s="60"/>
      <c r="E998" s="171"/>
      <c r="F998" s="60"/>
      <c r="G998" s="62"/>
    </row>
    <row r="999" spans="1:7" ht="38.25">
      <c r="A999" s="171"/>
      <c r="B999" s="85" t="s">
        <v>403</v>
      </c>
      <c r="C999" s="74" t="s">
        <v>287</v>
      </c>
      <c r="D999" s="87" t="s">
        <v>148</v>
      </c>
      <c r="E999" s="171"/>
      <c r="F999" s="93">
        <v>930.95238095238096</v>
      </c>
      <c r="G999" s="62">
        <f>F999</f>
        <v>930.95238095238096</v>
      </c>
    </row>
    <row r="1000" spans="1:7" ht="15.75">
      <c r="A1000" s="171">
        <v>3</v>
      </c>
      <c r="B1000" s="155" t="s">
        <v>36</v>
      </c>
      <c r="C1000" s="76"/>
      <c r="D1000" s="60"/>
      <c r="E1000" s="171"/>
      <c r="F1000" s="86"/>
      <c r="G1000" s="62"/>
    </row>
    <row r="1001" spans="1:7" ht="41.25">
      <c r="A1001" s="171"/>
      <c r="B1001" s="85" t="s">
        <v>338</v>
      </c>
      <c r="C1001" s="74" t="s">
        <v>132</v>
      </c>
      <c r="D1001" s="87" t="s">
        <v>144</v>
      </c>
      <c r="E1001" s="171"/>
      <c r="F1001" s="60">
        <v>840</v>
      </c>
      <c r="G1001" s="62">
        <f>F1001</f>
        <v>840</v>
      </c>
    </row>
    <row r="1002" spans="1:7" ht="15.75">
      <c r="A1002" s="171">
        <v>4</v>
      </c>
      <c r="B1002" s="155" t="s">
        <v>37</v>
      </c>
      <c r="C1002" s="76"/>
      <c r="D1002" s="60"/>
      <c r="E1002" s="171"/>
      <c r="F1002" s="60"/>
      <c r="G1002" s="62"/>
    </row>
    <row r="1003" spans="1:7" ht="54.75" customHeight="1">
      <c r="A1003" s="171"/>
      <c r="B1003" s="85" t="s">
        <v>682</v>
      </c>
      <c r="C1003" s="74" t="s">
        <v>160</v>
      </c>
      <c r="D1003" s="87" t="s">
        <v>156</v>
      </c>
      <c r="E1003" s="171"/>
      <c r="F1003" s="60">
        <v>100</v>
      </c>
      <c r="G1003" s="62">
        <f>F1003</f>
        <v>100</v>
      </c>
    </row>
    <row r="1004" spans="1:7" ht="32.25" customHeight="1">
      <c r="A1004" s="171"/>
      <c r="B1004" s="223" t="s">
        <v>1002</v>
      </c>
      <c r="C1004" s="222"/>
      <c r="D1004" s="60"/>
      <c r="E1004" s="171"/>
      <c r="F1004" s="60"/>
      <c r="G1004" s="62"/>
    </row>
    <row r="1005" spans="1:7" ht="15.75">
      <c r="A1005" s="171">
        <v>1</v>
      </c>
      <c r="B1005" s="155" t="s">
        <v>34</v>
      </c>
      <c r="C1005" s="76"/>
      <c r="D1005" s="60"/>
      <c r="E1005" s="171"/>
      <c r="F1005" s="60"/>
      <c r="G1005" s="62"/>
    </row>
    <row r="1006" spans="1:7" ht="47.25" customHeight="1">
      <c r="A1006" s="171"/>
      <c r="B1006" s="85" t="s">
        <v>685</v>
      </c>
      <c r="C1006" s="87" t="s">
        <v>127</v>
      </c>
      <c r="D1006" s="87" t="s">
        <v>286</v>
      </c>
      <c r="E1006" s="171"/>
      <c r="F1006" s="90">
        <f>852500</f>
        <v>852500</v>
      </c>
      <c r="G1006" s="62">
        <f>F1006</f>
        <v>852500</v>
      </c>
    </row>
    <row r="1007" spans="1:7" ht="23.25" customHeight="1">
      <c r="A1007" s="171">
        <v>2</v>
      </c>
      <c r="B1007" s="155" t="s">
        <v>35</v>
      </c>
      <c r="C1007" s="76"/>
      <c r="D1007" s="60"/>
      <c r="E1007" s="171"/>
      <c r="F1007" s="60"/>
      <c r="G1007" s="62"/>
    </row>
    <row r="1008" spans="1:7" ht="38.25">
      <c r="A1008" s="171"/>
      <c r="B1008" s="85" t="s">
        <v>417</v>
      </c>
      <c r="C1008" s="74" t="s">
        <v>287</v>
      </c>
      <c r="D1008" s="74" t="s">
        <v>148</v>
      </c>
      <c r="E1008" s="171"/>
      <c r="F1008" s="105">
        <f>F1006/F1010</f>
        <v>1039.6341463414635</v>
      </c>
      <c r="G1008" s="62">
        <f>F1008</f>
        <v>1039.6341463414635</v>
      </c>
    </row>
    <row r="1009" spans="1:7" ht="15.75">
      <c r="A1009" s="171">
        <v>3</v>
      </c>
      <c r="B1009" s="155" t="s">
        <v>36</v>
      </c>
      <c r="C1009" s="76"/>
      <c r="D1009" s="60"/>
      <c r="E1009" s="171"/>
      <c r="F1009" s="60"/>
      <c r="G1009" s="62"/>
    </row>
    <row r="1010" spans="1:7" ht="46.5" customHeight="1">
      <c r="A1010" s="171"/>
      <c r="B1010" s="85" t="s">
        <v>418</v>
      </c>
      <c r="C1010" s="74" t="s">
        <v>132</v>
      </c>
      <c r="D1010" s="74" t="s">
        <v>144</v>
      </c>
      <c r="E1010" s="171"/>
      <c r="F1010" s="60">
        <v>820</v>
      </c>
      <c r="G1010" s="62">
        <f>F1010</f>
        <v>820</v>
      </c>
    </row>
    <row r="1011" spans="1:7" ht="15.75">
      <c r="A1011" s="171">
        <v>4</v>
      </c>
      <c r="B1011" s="155" t="s">
        <v>37</v>
      </c>
      <c r="C1011" s="76"/>
      <c r="D1011" s="60"/>
      <c r="E1011" s="171"/>
      <c r="F1011" s="60"/>
      <c r="G1011" s="62"/>
    </row>
    <row r="1012" spans="1:7" ht="57" customHeight="1">
      <c r="A1012" s="171"/>
      <c r="B1012" s="85" t="s">
        <v>686</v>
      </c>
      <c r="C1012" s="87" t="s">
        <v>160</v>
      </c>
      <c r="D1012" s="87" t="s">
        <v>156</v>
      </c>
      <c r="E1012" s="171"/>
      <c r="F1012" s="60">
        <v>100</v>
      </c>
      <c r="G1012" s="62">
        <f>F1012</f>
        <v>100</v>
      </c>
    </row>
    <row r="1013" spans="1:7" ht="34.5" customHeight="1">
      <c r="A1013" s="171"/>
      <c r="B1013" s="224" t="s">
        <v>1003</v>
      </c>
      <c r="C1013" s="225"/>
      <c r="D1013" s="60"/>
      <c r="E1013" s="171"/>
      <c r="F1013" s="60"/>
      <c r="G1013" s="62"/>
    </row>
    <row r="1014" spans="1:7" ht="15.75">
      <c r="A1014" s="171">
        <v>1</v>
      </c>
      <c r="B1014" s="155" t="s">
        <v>34</v>
      </c>
      <c r="C1014" s="76"/>
      <c r="D1014" s="60"/>
      <c r="E1014" s="171"/>
      <c r="F1014" s="60"/>
      <c r="G1014" s="62"/>
    </row>
    <row r="1015" spans="1:7" ht="53.25" customHeight="1">
      <c r="A1015" s="171"/>
      <c r="B1015" s="85" t="s">
        <v>690</v>
      </c>
      <c r="C1015" s="74" t="s">
        <v>127</v>
      </c>
      <c r="D1015" s="87" t="s">
        <v>286</v>
      </c>
      <c r="E1015" s="171"/>
      <c r="F1015" s="90">
        <v>500000</v>
      </c>
      <c r="G1015" s="62">
        <f>F1015</f>
        <v>500000</v>
      </c>
    </row>
    <row r="1016" spans="1:7" ht="18" customHeight="1">
      <c r="A1016" s="171">
        <v>2</v>
      </c>
      <c r="B1016" s="155" t="s">
        <v>35</v>
      </c>
      <c r="C1016" s="76"/>
      <c r="D1016" s="60"/>
      <c r="E1016" s="171"/>
      <c r="F1016" s="60"/>
      <c r="G1016" s="62"/>
    </row>
    <row r="1017" spans="1:7" ht="65.25" customHeight="1">
      <c r="A1017" s="171"/>
      <c r="B1017" s="106" t="s">
        <v>691</v>
      </c>
      <c r="C1017" s="76" t="s">
        <v>598</v>
      </c>
      <c r="D1017" s="87" t="s">
        <v>144</v>
      </c>
      <c r="E1017" s="171"/>
      <c r="F1017" s="60">
        <v>1</v>
      </c>
      <c r="G1017" s="62">
        <f>F1017</f>
        <v>1</v>
      </c>
    </row>
    <row r="1018" spans="1:7" ht="40.5" customHeight="1">
      <c r="A1018" s="171"/>
      <c r="B1018" s="85" t="s">
        <v>687</v>
      </c>
      <c r="C1018" s="74" t="s">
        <v>287</v>
      </c>
      <c r="D1018" s="74" t="s">
        <v>148</v>
      </c>
      <c r="E1018" s="171"/>
      <c r="F1018" s="105">
        <v>218.18181818181819</v>
      </c>
      <c r="G1018" s="62">
        <f>F1018</f>
        <v>218.18181818181819</v>
      </c>
    </row>
    <row r="1019" spans="1:7" ht="15.75">
      <c r="A1019" s="171">
        <v>3</v>
      </c>
      <c r="B1019" s="155" t="s">
        <v>36</v>
      </c>
      <c r="C1019" s="76"/>
      <c r="D1019" s="60"/>
      <c r="E1019" s="171"/>
      <c r="F1019" s="60"/>
      <c r="G1019" s="62"/>
    </row>
    <row r="1020" spans="1:7" ht="51" customHeight="1">
      <c r="A1020" s="171"/>
      <c r="B1020" s="85" t="s">
        <v>688</v>
      </c>
      <c r="C1020" s="74" t="s">
        <v>132</v>
      </c>
      <c r="D1020" s="127" t="s">
        <v>144</v>
      </c>
      <c r="E1020" s="171"/>
      <c r="F1020" s="90">
        <v>20000</v>
      </c>
      <c r="G1020" s="62">
        <f>F1020</f>
        <v>20000</v>
      </c>
    </row>
    <row r="1021" spans="1:7" ht="42" customHeight="1">
      <c r="A1021" s="171"/>
      <c r="B1021" s="85" t="s">
        <v>689</v>
      </c>
      <c r="C1021" s="74" t="s">
        <v>132</v>
      </c>
      <c r="D1021" s="74" t="s">
        <v>144</v>
      </c>
      <c r="E1021" s="171"/>
      <c r="F1021" s="90">
        <v>2200</v>
      </c>
      <c r="G1021" s="62">
        <f>F1021</f>
        <v>2200</v>
      </c>
    </row>
    <row r="1022" spans="1:7" ht="15.75">
      <c r="A1022" s="171">
        <v>4</v>
      </c>
      <c r="B1022" s="155" t="s">
        <v>37</v>
      </c>
      <c r="C1022" s="76"/>
      <c r="D1022" s="60"/>
      <c r="E1022" s="171"/>
      <c r="F1022" s="60"/>
      <c r="G1022" s="62"/>
    </row>
    <row r="1023" spans="1:7" ht="58.5" customHeight="1">
      <c r="A1023" s="171"/>
      <c r="B1023" s="85" t="s">
        <v>692</v>
      </c>
      <c r="C1023" s="74" t="s">
        <v>160</v>
      </c>
      <c r="D1023" s="87" t="s">
        <v>156</v>
      </c>
      <c r="E1023" s="171"/>
      <c r="F1023" s="60">
        <v>100</v>
      </c>
      <c r="G1023" s="62">
        <f>F1023</f>
        <v>100</v>
      </c>
    </row>
    <row r="1024" spans="1:7" ht="34.5" customHeight="1">
      <c r="A1024" s="171"/>
      <c r="B1024" s="209" t="s">
        <v>1004</v>
      </c>
      <c r="C1024" s="222"/>
      <c r="D1024" s="87"/>
      <c r="E1024" s="171"/>
      <c r="F1024" s="60"/>
      <c r="G1024" s="62"/>
    </row>
    <row r="1025" spans="1:7" ht="15.75">
      <c r="A1025" s="171">
        <v>1</v>
      </c>
      <c r="B1025" s="155" t="s">
        <v>34</v>
      </c>
      <c r="C1025" s="76"/>
      <c r="D1025" s="60"/>
      <c r="E1025" s="171"/>
      <c r="F1025" s="60"/>
      <c r="G1025" s="62"/>
    </row>
    <row r="1026" spans="1:7" ht="39">
      <c r="A1026" s="171"/>
      <c r="B1026" s="89" t="s">
        <v>693</v>
      </c>
      <c r="C1026" s="87" t="s">
        <v>127</v>
      </c>
      <c r="D1026" s="87" t="s">
        <v>286</v>
      </c>
      <c r="E1026" s="171"/>
      <c r="F1026" s="90">
        <f>645000</f>
        <v>645000</v>
      </c>
      <c r="G1026" s="62">
        <f>F1026</f>
        <v>645000</v>
      </c>
    </row>
    <row r="1027" spans="1:7" ht="15.75">
      <c r="A1027" s="171">
        <v>2</v>
      </c>
      <c r="B1027" s="155" t="s">
        <v>35</v>
      </c>
      <c r="C1027" s="76"/>
      <c r="D1027" s="60"/>
      <c r="E1027" s="171"/>
      <c r="F1027" s="60"/>
      <c r="G1027" s="62"/>
    </row>
    <row r="1028" spans="1:7" ht="39">
      <c r="A1028" s="171"/>
      <c r="B1028" s="89" t="s">
        <v>457</v>
      </c>
      <c r="C1028" s="87" t="s">
        <v>287</v>
      </c>
      <c r="D1028" s="87" t="s">
        <v>148</v>
      </c>
      <c r="E1028" s="171"/>
      <c r="F1028" s="96">
        <f>F1026/F1030</f>
        <v>693.54838709677415</v>
      </c>
      <c r="G1028" s="59">
        <f>F1028</f>
        <v>693.54838709677415</v>
      </c>
    </row>
    <row r="1029" spans="1:7" ht="15.75">
      <c r="A1029" s="171">
        <v>3</v>
      </c>
      <c r="B1029" s="155" t="s">
        <v>36</v>
      </c>
      <c r="C1029" s="76"/>
      <c r="D1029" s="60"/>
      <c r="E1029" s="171"/>
      <c r="F1029" s="60"/>
      <c r="G1029" s="59"/>
    </row>
    <row r="1030" spans="1:7" ht="42">
      <c r="A1030" s="171"/>
      <c r="B1030" s="89" t="s">
        <v>458</v>
      </c>
      <c r="C1030" s="87" t="s">
        <v>132</v>
      </c>
      <c r="D1030" s="87" t="s">
        <v>144</v>
      </c>
      <c r="E1030" s="171"/>
      <c r="F1030" s="96">
        <v>930</v>
      </c>
      <c r="G1030" s="59">
        <f>F1030</f>
        <v>930</v>
      </c>
    </row>
    <row r="1031" spans="1:7" ht="15.75">
      <c r="A1031" s="171">
        <v>4</v>
      </c>
      <c r="B1031" s="155" t="s">
        <v>37</v>
      </c>
      <c r="C1031" s="76"/>
      <c r="D1031" s="60"/>
      <c r="E1031" s="171"/>
      <c r="F1031" s="60"/>
      <c r="G1031" s="62"/>
    </row>
    <row r="1032" spans="1:7" ht="39">
      <c r="A1032" s="171"/>
      <c r="B1032" s="89" t="s">
        <v>695</v>
      </c>
      <c r="C1032" s="87" t="s">
        <v>160</v>
      </c>
      <c r="D1032" s="87" t="s">
        <v>156</v>
      </c>
      <c r="E1032" s="171"/>
      <c r="F1032" s="60">
        <v>100</v>
      </c>
      <c r="G1032" s="62">
        <v>100</v>
      </c>
    </row>
    <row r="1033" spans="1:7" ht="40.5" customHeight="1">
      <c r="A1033" s="171"/>
      <c r="B1033" s="223" t="s">
        <v>1005</v>
      </c>
      <c r="C1033" s="222"/>
      <c r="D1033" s="60"/>
      <c r="E1033" s="171"/>
      <c r="F1033" s="60"/>
      <c r="G1033" s="62"/>
    </row>
    <row r="1034" spans="1:7" ht="15.75">
      <c r="A1034" s="171">
        <v>1</v>
      </c>
      <c r="B1034" s="155" t="s">
        <v>34</v>
      </c>
      <c r="C1034" s="76"/>
      <c r="D1034" s="60"/>
      <c r="E1034" s="171"/>
      <c r="F1034" s="60"/>
      <c r="G1034" s="62"/>
    </row>
    <row r="1035" spans="1:7" ht="39">
      <c r="A1035" s="171"/>
      <c r="B1035" s="89" t="s">
        <v>694</v>
      </c>
      <c r="C1035" s="87" t="s">
        <v>127</v>
      </c>
      <c r="D1035" s="87" t="s">
        <v>286</v>
      </c>
      <c r="E1035" s="171"/>
      <c r="F1035" s="90">
        <f>4725</f>
        <v>4725</v>
      </c>
      <c r="G1035" s="59">
        <f>F1035</f>
        <v>4725</v>
      </c>
    </row>
    <row r="1036" spans="1:7" ht="15.75">
      <c r="A1036" s="171">
        <v>2</v>
      </c>
      <c r="B1036" s="155" t="s">
        <v>35</v>
      </c>
      <c r="C1036" s="76"/>
      <c r="D1036" s="60"/>
      <c r="E1036" s="171"/>
      <c r="F1036" s="60"/>
      <c r="G1036" s="62"/>
    </row>
    <row r="1037" spans="1:7" ht="51">
      <c r="A1037" s="171"/>
      <c r="B1037" s="85" t="s">
        <v>474</v>
      </c>
      <c r="C1037" s="76" t="s">
        <v>141</v>
      </c>
      <c r="D1037" s="74" t="s">
        <v>148</v>
      </c>
      <c r="E1037" s="171"/>
      <c r="F1037" s="60">
        <v>1</v>
      </c>
      <c r="G1037" s="62">
        <f>F1037</f>
        <v>1</v>
      </c>
    </row>
    <row r="1038" spans="1:7" ht="15.75">
      <c r="A1038" s="171">
        <v>3</v>
      </c>
      <c r="B1038" s="155" t="s">
        <v>36</v>
      </c>
      <c r="C1038" s="76"/>
      <c r="D1038" s="60"/>
      <c r="E1038" s="171"/>
      <c r="F1038" s="60"/>
      <c r="G1038" s="62"/>
    </row>
    <row r="1039" spans="1:7" ht="38.25">
      <c r="A1039" s="171"/>
      <c r="B1039" s="106" t="s">
        <v>475</v>
      </c>
      <c r="C1039" s="76" t="s">
        <v>127</v>
      </c>
      <c r="D1039" s="74" t="s">
        <v>144</v>
      </c>
      <c r="E1039" s="171"/>
      <c r="F1039" s="95">
        <v>4725</v>
      </c>
      <c r="G1039" s="62">
        <f>F1039</f>
        <v>4725</v>
      </c>
    </row>
    <row r="1040" spans="1:7" ht="15.75">
      <c r="A1040" s="171">
        <v>4</v>
      </c>
      <c r="B1040" s="155" t="s">
        <v>37</v>
      </c>
      <c r="C1040" s="76"/>
      <c r="D1040" s="60"/>
      <c r="E1040" s="171"/>
      <c r="F1040" s="60"/>
      <c r="G1040" s="62"/>
    </row>
    <row r="1041" spans="1:7" ht="39">
      <c r="A1041" s="171"/>
      <c r="B1041" s="89" t="s">
        <v>696</v>
      </c>
      <c r="C1041" s="87" t="s">
        <v>160</v>
      </c>
      <c r="D1041" s="87" t="s">
        <v>156</v>
      </c>
      <c r="E1041" s="171"/>
      <c r="F1041" s="60">
        <v>100</v>
      </c>
      <c r="G1041" s="62">
        <f>F1041</f>
        <v>100</v>
      </c>
    </row>
    <row r="1042" spans="1:7" ht="39.75" customHeight="1">
      <c r="A1042" s="171"/>
      <c r="B1042" s="223" t="s">
        <v>1006</v>
      </c>
      <c r="C1042" s="222"/>
      <c r="D1042" s="60"/>
      <c r="E1042" s="171"/>
      <c r="F1042" s="60"/>
      <c r="G1042" s="62"/>
    </row>
    <row r="1043" spans="1:7" ht="15.75">
      <c r="A1043" s="171">
        <v>1</v>
      </c>
      <c r="B1043" s="155" t="s">
        <v>34</v>
      </c>
      <c r="C1043" s="76"/>
      <c r="D1043" s="60"/>
      <c r="E1043" s="171"/>
      <c r="F1043" s="60"/>
      <c r="G1043" s="62"/>
    </row>
    <row r="1044" spans="1:7" ht="46.5" customHeight="1">
      <c r="A1044" s="171"/>
      <c r="B1044" s="85" t="s">
        <v>697</v>
      </c>
      <c r="C1044" s="87" t="s">
        <v>127</v>
      </c>
      <c r="D1044" s="87" t="s">
        <v>286</v>
      </c>
      <c r="E1044" s="171"/>
      <c r="F1044" s="90">
        <f>260000</f>
        <v>260000</v>
      </c>
      <c r="G1044" s="59">
        <f>F1044</f>
        <v>260000</v>
      </c>
    </row>
    <row r="1045" spans="1:7" ht="15.75">
      <c r="A1045" s="171">
        <v>2</v>
      </c>
      <c r="B1045" s="155" t="s">
        <v>35</v>
      </c>
      <c r="C1045" s="76"/>
      <c r="D1045" s="60"/>
      <c r="E1045" s="171"/>
      <c r="F1045" s="60"/>
      <c r="G1045" s="62"/>
    </row>
    <row r="1046" spans="1:7" ht="45" customHeight="1">
      <c r="A1046" s="171"/>
      <c r="B1046" s="85" t="s">
        <v>477</v>
      </c>
      <c r="C1046" s="74" t="s">
        <v>287</v>
      </c>
      <c r="D1046" s="74" t="s">
        <v>148</v>
      </c>
      <c r="E1046" s="171"/>
      <c r="F1046" s="95">
        <f>F1044/F1048</f>
        <v>118.18181818181819</v>
      </c>
      <c r="G1046" s="62">
        <f>F1046</f>
        <v>118.18181818181819</v>
      </c>
    </row>
    <row r="1047" spans="1:7" ht="15.75">
      <c r="A1047" s="171">
        <v>3</v>
      </c>
      <c r="B1047" s="155" t="s">
        <v>36</v>
      </c>
      <c r="C1047" s="76"/>
      <c r="D1047" s="60"/>
      <c r="E1047" s="171"/>
      <c r="F1047" s="60"/>
      <c r="G1047" s="62"/>
    </row>
    <row r="1048" spans="1:7" ht="51" customHeight="1">
      <c r="A1048" s="171"/>
      <c r="B1048" s="85" t="s">
        <v>476</v>
      </c>
      <c r="C1048" s="74" t="s">
        <v>132</v>
      </c>
      <c r="D1048" s="74" t="s">
        <v>144</v>
      </c>
      <c r="E1048" s="171"/>
      <c r="F1048" s="90">
        <v>2200</v>
      </c>
      <c r="G1048" s="59">
        <f>F1048</f>
        <v>2200</v>
      </c>
    </row>
    <row r="1049" spans="1:7" ht="15.75">
      <c r="A1049" s="171">
        <v>4</v>
      </c>
      <c r="B1049" s="155" t="s">
        <v>37</v>
      </c>
      <c r="C1049" s="76"/>
      <c r="D1049" s="60"/>
      <c r="E1049" s="171"/>
      <c r="F1049" s="60"/>
      <c r="G1049" s="62"/>
    </row>
    <row r="1050" spans="1:7" ht="43.5" customHeight="1">
      <c r="A1050" s="171"/>
      <c r="B1050" s="89" t="s">
        <v>698</v>
      </c>
      <c r="C1050" s="87" t="s">
        <v>160</v>
      </c>
      <c r="D1050" s="87" t="s">
        <v>156</v>
      </c>
      <c r="E1050" s="171"/>
      <c r="F1050" s="60">
        <v>100</v>
      </c>
      <c r="G1050" s="62">
        <f>F1050</f>
        <v>100</v>
      </c>
    </row>
    <row r="1051" spans="1:7" ht="41.25" customHeight="1">
      <c r="A1051" s="171"/>
      <c r="B1051" s="209" t="s">
        <v>1007</v>
      </c>
      <c r="C1051" s="222"/>
      <c r="D1051" s="87"/>
      <c r="E1051" s="171"/>
      <c r="F1051" s="60"/>
      <c r="G1051" s="62"/>
    </row>
    <row r="1052" spans="1:7" ht="15.75">
      <c r="A1052" s="171">
        <v>1</v>
      </c>
      <c r="B1052" s="155" t="s">
        <v>34</v>
      </c>
      <c r="C1052" s="76"/>
      <c r="D1052" s="60"/>
      <c r="E1052" s="171"/>
      <c r="F1052" s="60"/>
      <c r="G1052" s="62"/>
    </row>
    <row r="1053" spans="1:7" ht="50.25" customHeight="1">
      <c r="A1053" s="171"/>
      <c r="B1053" s="85" t="s">
        <v>330</v>
      </c>
      <c r="C1053" s="87" t="s">
        <v>127</v>
      </c>
      <c r="D1053" s="87" t="s">
        <v>286</v>
      </c>
      <c r="E1053" s="171"/>
      <c r="F1053" s="95">
        <f>1000000+299000</f>
        <v>1299000</v>
      </c>
      <c r="G1053" s="62">
        <f>F1053</f>
        <v>1299000</v>
      </c>
    </row>
    <row r="1054" spans="1:7" ht="15.75">
      <c r="A1054" s="171">
        <v>2</v>
      </c>
      <c r="B1054" s="155" t="s">
        <v>35</v>
      </c>
      <c r="C1054" s="76"/>
      <c r="D1054" s="60"/>
      <c r="E1054" s="171"/>
      <c r="F1054" s="60"/>
      <c r="G1054" s="62"/>
    </row>
    <row r="1055" spans="1:7" ht="52.5" customHeight="1">
      <c r="A1055" s="171"/>
      <c r="B1055" s="85" t="s">
        <v>331</v>
      </c>
      <c r="C1055" s="87" t="s">
        <v>287</v>
      </c>
      <c r="D1055" s="87" t="s">
        <v>148</v>
      </c>
      <c r="E1055" s="171"/>
      <c r="F1055" s="60">
        <f>F1053/F1057</f>
        <v>649.5</v>
      </c>
      <c r="G1055" s="62">
        <f>F1055</f>
        <v>649.5</v>
      </c>
    </row>
    <row r="1056" spans="1:7" ht="15.75">
      <c r="A1056" s="171">
        <v>3</v>
      </c>
      <c r="B1056" s="155" t="s">
        <v>36</v>
      </c>
      <c r="C1056" s="76"/>
      <c r="D1056" s="60"/>
      <c r="E1056" s="171"/>
      <c r="F1056" s="60"/>
      <c r="G1056" s="62"/>
    </row>
    <row r="1057" spans="1:7" ht="57" customHeight="1">
      <c r="A1057" s="171"/>
      <c r="B1057" s="85" t="s">
        <v>941</v>
      </c>
      <c r="C1057" s="87" t="s">
        <v>132</v>
      </c>
      <c r="D1057" s="87" t="s">
        <v>144</v>
      </c>
      <c r="E1057" s="171"/>
      <c r="F1057" s="60">
        <v>2000</v>
      </c>
      <c r="G1057" s="62">
        <f>F1057</f>
        <v>2000</v>
      </c>
    </row>
    <row r="1058" spans="1:7" ht="15.75">
      <c r="A1058" s="171">
        <v>4</v>
      </c>
      <c r="B1058" s="155" t="s">
        <v>37</v>
      </c>
      <c r="C1058" s="76"/>
      <c r="D1058" s="60"/>
      <c r="E1058" s="171"/>
      <c r="F1058" s="60"/>
      <c r="G1058" s="62"/>
    </row>
    <row r="1059" spans="1:7" ht="48.75" customHeight="1">
      <c r="A1059" s="171"/>
      <c r="B1059" s="85" t="s">
        <v>332</v>
      </c>
      <c r="C1059" s="87" t="s">
        <v>160</v>
      </c>
      <c r="D1059" s="87" t="s">
        <v>144</v>
      </c>
      <c r="E1059" s="171"/>
      <c r="F1059" s="60">
        <v>100</v>
      </c>
      <c r="G1059" s="62">
        <f>F1059</f>
        <v>100</v>
      </c>
    </row>
    <row r="1060" spans="1:7" ht="35.25" customHeight="1">
      <c r="A1060" s="171"/>
      <c r="B1060" s="224" t="s">
        <v>1008</v>
      </c>
      <c r="C1060" s="225"/>
      <c r="D1060" s="60"/>
      <c r="E1060" s="171"/>
      <c r="F1060" s="90"/>
      <c r="G1060" s="59"/>
    </row>
    <row r="1061" spans="1:7" ht="15.75">
      <c r="A1061" s="171">
        <v>1</v>
      </c>
      <c r="B1061" s="155" t="s">
        <v>34</v>
      </c>
      <c r="C1061" s="76"/>
      <c r="D1061" s="60"/>
      <c r="E1061" s="171"/>
      <c r="F1061" s="90"/>
      <c r="G1061" s="59"/>
    </row>
    <row r="1062" spans="1:7" ht="48.75" customHeight="1">
      <c r="A1062" s="171"/>
      <c r="B1062" s="85" t="s">
        <v>702</v>
      </c>
      <c r="C1062" s="74" t="s">
        <v>127</v>
      </c>
      <c r="D1062" s="87" t="s">
        <v>286</v>
      </c>
      <c r="E1062" s="171"/>
      <c r="F1062" s="90">
        <f>250000</f>
        <v>250000</v>
      </c>
      <c r="G1062" s="59">
        <f>F1062</f>
        <v>250000</v>
      </c>
    </row>
    <row r="1063" spans="1:7" ht="15.75">
      <c r="A1063" s="171">
        <v>2</v>
      </c>
      <c r="B1063" s="155" t="s">
        <v>35</v>
      </c>
      <c r="C1063" s="76"/>
      <c r="D1063" s="60"/>
      <c r="E1063" s="171"/>
      <c r="F1063" s="90"/>
      <c r="G1063" s="59"/>
    </row>
    <row r="1064" spans="1:7" ht="55.5" customHeight="1">
      <c r="A1064" s="171"/>
      <c r="B1064" s="106" t="s">
        <v>703</v>
      </c>
      <c r="C1064" s="76" t="s">
        <v>598</v>
      </c>
      <c r="D1064" s="87" t="s">
        <v>144</v>
      </c>
      <c r="E1064" s="171"/>
      <c r="F1064" s="90">
        <v>1</v>
      </c>
      <c r="G1064" s="59">
        <f>F1064</f>
        <v>1</v>
      </c>
    </row>
    <row r="1065" spans="1:7" ht="51.75" customHeight="1">
      <c r="A1065" s="171"/>
      <c r="B1065" s="85" t="s">
        <v>699</v>
      </c>
      <c r="C1065" s="74" t="s">
        <v>287</v>
      </c>
      <c r="D1065" s="74" t="s">
        <v>148</v>
      </c>
      <c r="E1065" s="171"/>
      <c r="F1065" s="90">
        <v>109.09090909090909</v>
      </c>
      <c r="G1065" s="59">
        <f>F1065</f>
        <v>109.09090909090909</v>
      </c>
    </row>
    <row r="1066" spans="1:7" ht="15.75">
      <c r="A1066" s="171">
        <v>3</v>
      </c>
      <c r="B1066" s="155" t="s">
        <v>36</v>
      </c>
      <c r="C1066" s="76"/>
      <c r="D1066" s="60"/>
      <c r="E1066" s="171"/>
      <c r="F1066" s="90"/>
      <c r="G1066" s="59"/>
    </row>
    <row r="1067" spans="1:7" ht="48" customHeight="1">
      <c r="A1067" s="171"/>
      <c r="B1067" s="85" t="s">
        <v>700</v>
      </c>
      <c r="C1067" s="74" t="s">
        <v>132</v>
      </c>
      <c r="D1067" s="127" t="s">
        <v>144</v>
      </c>
      <c r="E1067" s="171"/>
      <c r="F1067" s="90">
        <v>10000</v>
      </c>
      <c r="G1067" s="59">
        <f>F1067</f>
        <v>10000</v>
      </c>
    </row>
    <row r="1068" spans="1:7" ht="40.5" customHeight="1">
      <c r="A1068" s="171"/>
      <c r="B1068" s="85" t="s">
        <v>701</v>
      </c>
      <c r="C1068" s="74" t="s">
        <v>132</v>
      </c>
      <c r="D1068" s="74" t="s">
        <v>144</v>
      </c>
      <c r="E1068" s="171"/>
      <c r="F1068" s="90">
        <v>2200</v>
      </c>
      <c r="G1068" s="59">
        <f>F1068</f>
        <v>2200</v>
      </c>
    </row>
    <row r="1069" spans="1:7" ht="15.75">
      <c r="A1069" s="171">
        <v>4</v>
      </c>
      <c r="B1069" s="155" t="s">
        <v>37</v>
      </c>
      <c r="C1069" s="76"/>
      <c r="D1069" s="60"/>
      <c r="E1069" s="171"/>
      <c r="F1069" s="90"/>
      <c r="G1069" s="59"/>
    </row>
    <row r="1070" spans="1:7" ht="51" customHeight="1">
      <c r="A1070" s="171"/>
      <c r="B1070" s="85" t="s">
        <v>704</v>
      </c>
      <c r="C1070" s="74" t="s">
        <v>160</v>
      </c>
      <c r="D1070" s="87" t="s">
        <v>156</v>
      </c>
      <c r="E1070" s="171"/>
      <c r="F1070" s="90">
        <v>100</v>
      </c>
      <c r="G1070" s="59">
        <f>F1070</f>
        <v>100</v>
      </c>
    </row>
    <row r="1071" spans="1:7" ht="31.5" customHeight="1">
      <c r="A1071" s="171"/>
      <c r="B1071" s="223" t="s">
        <v>1009</v>
      </c>
      <c r="C1071" s="222"/>
      <c r="D1071" s="60"/>
      <c r="E1071" s="171"/>
      <c r="F1071" s="60"/>
      <c r="G1071" s="62"/>
    </row>
    <row r="1072" spans="1:7" ht="15.75">
      <c r="A1072" s="171">
        <v>1</v>
      </c>
      <c r="B1072" s="155" t="s">
        <v>34</v>
      </c>
      <c r="C1072" s="76"/>
      <c r="D1072" s="60"/>
      <c r="E1072" s="171"/>
      <c r="F1072" s="60"/>
      <c r="G1072" s="62"/>
    </row>
    <row r="1073" spans="1:7" ht="45.75" customHeight="1">
      <c r="A1073" s="171"/>
      <c r="B1073" s="89" t="s">
        <v>705</v>
      </c>
      <c r="C1073" s="87" t="s">
        <v>127</v>
      </c>
      <c r="D1073" s="87" t="s">
        <v>286</v>
      </c>
      <c r="E1073" s="171"/>
      <c r="F1073" s="90">
        <f>265000</f>
        <v>265000</v>
      </c>
      <c r="G1073" s="59">
        <f>F1073</f>
        <v>265000</v>
      </c>
    </row>
    <row r="1074" spans="1:7" ht="15.75">
      <c r="A1074" s="171">
        <v>2</v>
      </c>
      <c r="B1074" s="155" t="s">
        <v>35</v>
      </c>
      <c r="C1074" s="76"/>
      <c r="D1074" s="60"/>
      <c r="E1074" s="171"/>
      <c r="F1074" s="60"/>
      <c r="G1074" s="62"/>
    </row>
    <row r="1075" spans="1:7" ht="48.75" customHeight="1">
      <c r="A1075" s="171"/>
      <c r="B1075" s="85" t="s">
        <v>478</v>
      </c>
      <c r="C1075" s="74" t="s">
        <v>287</v>
      </c>
      <c r="D1075" s="74" t="s">
        <v>148</v>
      </c>
      <c r="E1075" s="171"/>
      <c r="F1075" s="95">
        <f>F1073/F1077</f>
        <v>389.70588235294116</v>
      </c>
      <c r="G1075" s="62">
        <f>F1075</f>
        <v>389.70588235294116</v>
      </c>
    </row>
    <row r="1076" spans="1:7" ht="15.75">
      <c r="A1076" s="171">
        <v>3</v>
      </c>
      <c r="B1076" s="155" t="s">
        <v>36</v>
      </c>
      <c r="C1076" s="76"/>
      <c r="D1076" s="60"/>
      <c r="E1076" s="171"/>
      <c r="F1076" s="60"/>
      <c r="G1076" s="62"/>
    </row>
    <row r="1077" spans="1:7" ht="48.75" customHeight="1">
      <c r="A1077" s="171"/>
      <c r="B1077" s="85" t="s">
        <v>479</v>
      </c>
      <c r="C1077" s="74" t="s">
        <v>132</v>
      </c>
      <c r="D1077" s="74" t="s">
        <v>144</v>
      </c>
      <c r="E1077" s="171"/>
      <c r="F1077" s="90">
        <v>680</v>
      </c>
      <c r="G1077" s="59">
        <f>F1077</f>
        <v>680</v>
      </c>
    </row>
    <row r="1078" spans="1:7" ht="15.75">
      <c r="A1078" s="171">
        <v>4</v>
      </c>
      <c r="B1078" s="155" t="s">
        <v>37</v>
      </c>
      <c r="C1078" s="76"/>
      <c r="D1078" s="60"/>
      <c r="E1078" s="171"/>
      <c r="F1078" s="60"/>
      <c r="G1078" s="62"/>
    </row>
    <row r="1079" spans="1:7" ht="51" customHeight="1">
      <c r="A1079" s="171"/>
      <c r="B1079" s="85" t="s">
        <v>706</v>
      </c>
      <c r="C1079" s="87" t="s">
        <v>160</v>
      </c>
      <c r="D1079" s="87" t="s">
        <v>156</v>
      </c>
      <c r="E1079" s="171"/>
      <c r="F1079" s="60">
        <v>100</v>
      </c>
      <c r="G1079" s="62">
        <f>F1079</f>
        <v>100</v>
      </c>
    </row>
    <row r="1080" spans="1:7" ht="37.5" customHeight="1">
      <c r="A1080" s="171"/>
      <c r="B1080" s="223" t="s">
        <v>1010</v>
      </c>
      <c r="C1080" s="222"/>
      <c r="D1080" s="60"/>
      <c r="E1080" s="171"/>
      <c r="F1080" s="60"/>
      <c r="G1080" s="62"/>
    </row>
    <row r="1081" spans="1:7" ht="15.75">
      <c r="A1081" s="171">
        <v>1</v>
      </c>
      <c r="B1081" s="155" t="s">
        <v>34</v>
      </c>
      <c r="C1081" s="76"/>
      <c r="D1081" s="60"/>
      <c r="E1081" s="171"/>
      <c r="F1081" s="60"/>
      <c r="G1081" s="62"/>
    </row>
    <row r="1082" spans="1:7" ht="39">
      <c r="A1082" s="171"/>
      <c r="B1082" s="89" t="s">
        <v>707</v>
      </c>
      <c r="C1082" s="87" t="s">
        <v>127</v>
      </c>
      <c r="D1082" s="87" t="s">
        <v>286</v>
      </c>
      <c r="E1082" s="171"/>
      <c r="F1082" s="90">
        <f>270000</f>
        <v>270000</v>
      </c>
      <c r="G1082" s="59">
        <f>F1082</f>
        <v>270000</v>
      </c>
    </row>
    <row r="1083" spans="1:7" ht="15.75">
      <c r="A1083" s="171">
        <v>2</v>
      </c>
      <c r="B1083" s="155" t="s">
        <v>35</v>
      </c>
      <c r="C1083" s="76"/>
      <c r="D1083" s="60"/>
      <c r="E1083" s="171"/>
      <c r="F1083" s="60"/>
      <c r="G1083" s="62"/>
    </row>
    <row r="1084" spans="1:7" ht="38.25">
      <c r="A1084" s="171"/>
      <c r="B1084" s="85" t="s">
        <v>480</v>
      </c>
      <c r="C1084" s="74" t="s">
        <v>287</v>
      </c>
      <c r="D1084" s="74" t="s">
        <v>148</v>
      </c>
      <c r="E1084" s="171"/>
      <c r="F1084" s="95">
        <f>F1082/F1086</f>
        <v>391.30434782608694</v>
      </c>
      <c r="G1084" s="62">
        <f>F1084</f>
        <v>391.30434782608694</v>
      </c>
    </row>
    <row r="1085" spans="1:7" ht="15.75">
      <c r="A1085" s="171">
        <v>3</v>
      </c>
      <c r="B1085" s="155" t="s">
        <v>36</v>
      </c>
      <c r="C1085" s="76"/>
      <c r="D1085" s="60"/>
      <c r="E1085" s="171"/>
      <c r="F1085" s="60"/>
      <c r="G1085" s="62"/>
    </row>
    <row r="1086" spans="1:7" ht="40.5" customHeight="1">
      <c r="A1086" s="171"/>
      <c r="B1086" s="85" t="s">
        <v>481</v>
      </c>
      <c r="C1086" s="74" t="s">
        <v>132</v>
      </c>
      <c r="D1086" s="74" t="s">
        <v>144</v>
      </c>
      <c r="E1086" s="171"/>
      <c r="F1086" s="90">
        <v>690</v>
      </c>
      <c r="G1086" s="59">
        <f>F1086</f>
        <v>690</v>
      </c>
    </row>
    <row r="1087" spans="1:7" ht="19.5" customHeight="1">
      <c r="A1087" s="171">
        <v>4</v>
      </c>
      <c r="B1087" s="155" t="s">
        <v>37</v>
      </c>
      <c r="C1087" s="76"/>
      <c r="D1087" s="60"/>
      <c r="E1087" s="171"/>
      <c r="F1087" s="60"/>
      <c r="G1087" s="62"/>
    </row>
    <row r="1088" spans="1:7" ht="39">
      <c r="A1088" s="171"/>
      <c r="B1088" s="89" t="s">
        <v>708</v>
      </c>
      <c r="C1088" s="87" t="s">
        <v>160</v>
      </c>
      <c r="D1088" s="87" t="s">
        <v>156</v>
      </c>
      <c r="E1088" s="171"/>
      <c r="F1088" s="60">
        <v>100</v>
      </c>
      <c r="G1088" s="62">
        <f>F1088</f>
        <v>100</v>
      </c>
    </row>
    <row r="1089" spans="1:7" ht="37.5" customHeight="1">
      <c r="A1089" s="171"/>
      <c r="B1089" s="223" t="s">
        <v>1011</v>
      </c>
      <c r="C1089" s="222"/>
      <c r="D1089" s="60"/>
      <c r="E1089" s="171"/>
      <c r="F1089" s="60"/>
      <c r="G1089" s="62"/>
    </row>
    <row r="1090" spans="1:7" ht="15.75">
      <c r="A1090" s="171">
        <v>1</v>
      </c>
      <c r="B1090" s="155" t="s">
        <v>34</v>
      </c>
      <c r="C1090" s="76"/>
      <c r="D1090" s="60"/>
      <c r="E1090" s="171"/>
      <c r="F1090" s="60"/>
      <c r="G1090" s="62"/>
    </row>
    <row r="1091" spans="1:7" ht="57" customHeight="1">
      <c r="A1091" s="171"/>
      <c r="B1091" s="85" t="s">
        <v>709</v>
      </c>
      <c r="C1091" s="87" t="s">
        <v>127</v>
      </c>
      <c r="D1091" s="87" t="s">
        <v>286</v>
      </c>
      <c r="E1091" s="171"/>
      <c r="F1091" s="90">
        <f>1000000</f>
        <v>1000000</v>
      </c>
      <c r="G1091" s="59">
        <f>F1091</f>
        <v>1000000</v>
      </c>
    </row>
    <row r="1092" spans="1:7" ht="15.75">
      <c r="A1092" s="171">
        <v>2</v>
      </c>
      <c r="B1092" s="155" t="s">
        <v>35</v>
      </c>
      <c r="C1092" s="76"/>
      <c r="D1092" s="60"/>
      <c r="E1092" s="171"/>
      <c r="F1092" s="60"/>
      <c r="G1092" s="62"/>
    </row>
    <row r="1093" spans="1:7" ht="55.5" customHeight="1">
      <c r="A1093" s="171"/>
      <c r="B1093" s="85" t="s">
        <v>482</v>
      </c>
      <c r="C1093" s="74" t="s">
        <v>287</v>
      </c>
      <c r="D1093" s="74" t="s">
        <v>148</v>
      </c>
      <c r="E1093" s="171"/>
      <c r="F1093" s="95">
        <f>F1091/F1095</f>
        <v>500</v>
      </c>
      <c r="G1093" s="62">
        <f>F1093</f>
        <v>500</v>
      </c>
    </row>
    <row r="1094" spans="1:7" ht="15.75">
      <c r="A1094" s="171">
        <v>3</v>
      </c>
      <c r="B1094" s="155" t="s">
        <v>36</v>
      </c>
      <c r="C1094" s="76"/>
      <c r="D1094" s="60"/>
      <c r="E1094" s="171"/>
      <c r="F1094" s="60"/>
      <c r="G1094" s="62"/>
    </row>
    <row r="1095" spans="1:7" ht="51" customHeight="1">
      <c r="A1095" s="171"/>
      <c r="B1095" s="85" t="s">
        <v>483</v>
      </c>
      <c r="C1095" s="74" t="s">
        <v>132</v>
      </c>
      <c r="D1095" s="74" t="s">
        <v>144</v>
      </c>
      <c r="E1095" s="171"/>
      <c r="F1095" s="90">
        <v>2000</v>
      </c>
      <c r="G1095" s="59">
        <f>F1095</f>
        <v>2000</v>
      </c>
    </row>
    <row r="1096" spans="1:7" ht="15.75">
      <c r="A1096" s="171">
        <v>4</v>
      </c>
      <c r="B1096" s="155" t="s">
        <v>37</v>
      </c>
      <c r="C1096" s="76"/>
      <c r="D1096" s="60"/>
      <c r="E1096" s="171"/>
      <c r="F1096" s="60"/>
      <c r="G1096" s="62"/>
    </row>
    <row r="1097" spans="1:7" ht="50.25" customHeight="1">
      <c r="A1097" s="171"/>
      <c r="B1097" s="85" t="s">
        <v>710</v>
      </c>
      <c r="C1097" s="87" t="s">
        <v>160</v>
      </c>
      <c r="D1097" s="87" t="s">
        <v>156</v>
      </c>
      <c r="E1097" s="171"/>
      <c r="F1097" s="60">
        <v>100</v>
      </c>
      <c r="G1097" s="62">
        <f>F1097</f>
        <v>100</v>
      </c>
    </row>
    <row r="1098" spans="1:7" ht="33" customHeight="1">
      <c r="A1098" s="171"/>
      <c r="B1098" s="224" t="s">
        <v>1012</v>
      </c>
      <c r="C1098" s="225"/>
      <c r="D1098" s="60"/>
      <c r="E1098" s="171"/>
      <c r="F1098" s="95"/>
      <c r="G1098" s="62"/>
    </row>
    <row r="1099" spans="1:7" ht="15.75">
      <c r="A1099" s="171">
        <v>1</v>
      </c>
      <c r="B1099" s="155" t="s">
        <v>34</v>
      </c>
      <c r="C1099" s="76"/>
      <c r="D1099" s="60"/>
      <c r="E1099" s="171"/>
      <c r="F1099" s="60"/>
      <c r="G1099" s="62"/>
    </row>
    <row r="1100" spans="1:7" ht="53.25" customHeight="1">
      <c r="A1100" s="171"/>
      <c r="B1100" s="85" t="s">
        <v>717</v>
      </c>
      <c r="C1100" s="74" t="s">
        <v>127</v>
      </c>
      <c r="D1100" s="87" t="s">
        <v>286</v>
      </c>
      <c r="E1100" s="171"/>
      <c r="F1100" s="90">
        <v>200000</v>
      </c>
      <c r="G1100" s="59">
        <f>F1100</f>
        <v>200000</v>
      </c>
    </row>
    <row r="1101" spans="1:7" ht="15.75">
      <c r="A1101" s="171">
        <v>2</v>
      </c>
      <c r="B1101" s="155" t="s">
        <v>35</v>
      </c>
      <c r="C1101" s="76"/>
      <c r="D1101" s="60"/>
      <c r="E1101" s="171"/>
      <c r="F1101" s="60"/>
      <c r="G1101" s="62"/>
    </row>
    <row r="1102" spans="1:7" ht="65.25" customHeight="1">
      <c r="A1102" s="171"/>
      <c r="B1102" s="106" t="s">
        <v>718</v>
      </c>
      <c r="C1102" s="76" t="s">
        <v>598</v>
      </c>
      <c r="D1102" s="87" t="s">
        <v>144</v>
      </c>
      <c r="E1102" s="171"/>
      <c r="F1102" s="60">
        <v>1</v>
      </c>
      <c r="G1102" s="62">
        <f>F1102</f>
        <v>1</v>
      </c>
    </row>
    <row r="1103" spans="1:7" ht="56.25" customHeight="1">
      <c r="A1103" s="171"/>
      <c r="B1103" s="85" t="s">
        <v>711</v>
      </c>
      <c r="C1103" s="74" t="s">
        <v>287</v>
      </c>
      <c r="D1103" s="74" t="s">
        <v>148</v>
      </c>
      <c r="E1103" s="171"/>
      <c r="F1103" s="96">
        <v>86.36363636363636</v>
      </c>
      <c r="G1103" s="59">
        <f>F1103</f>
        <v>86.36363636363636</v>
      </c>
    </row>
    <row r="1104" spans="1:7" ht="15.75">
      <c r="A1104" s="171">
        <v>3</v>
      </c>
      <c r="B1104" s="155" t="s">
        <v>36</v>
      </c>
      <c r="C1104" s="76"/>
      <c r="D1104" s="60"/>
      <c r="E1104" s="171"/>
      <c r="F1104" s="60"/>
      <c r="G1104" s="62"/>
    </row>
    <row r="1105" spans="1:7" ht="54" customHeight="1">
      <c r="A1105" s="171"/>
      <c r="B1105" s="85" t="s">
        <v>712</v>
      </c>
      <c r="C1105" s="74" t="s">
        <v>132</v>
      </c>
      <c r="D1105" s="127" t="s">
        <v>144</v>
      </c>
      <c r="E1105" s="171"/>
      <c r="F1105" s="90">
        <v>10000</v>
      </c>
      <c r="G1105" s="62">
        <f>F1105</f>
        <v>10000</v>
      </c>
    </row>
    <row r="1106" spans="1:7" ht="44.25" customHeight="1">
      <c r="A1106" s="171"/>
      <c r="B1106" s="85" t="s">
        <v>713</v>
      </c>
      <c r="C1106" s="74" t="s">
        <v>132</v>
      </c>
      <c r="D1106" s="74" t="s">
        <v>144</v>
      </c>
      <c r="E1106" s="171"/>
      <c r="F1106" s="90">
        <v>2200</v>
      </c>
      <c r="G1106" s="62">
        <f>F1106</f>
        <v>2200</v>
      </c>
    </row>
    <row r="1107" spans="1:7" ht="15.75">
      <c r="A1107" s="171">
        <v>4</v>
      </c>
      <c r="B1107" s="155" t="s">
        <v>37</v>
      </c>
      <c r="C1107" s="76"/>
      <c r="D1107" s="60"/>
      <c r="E1107" s="171"/>
      <c r="F1107" s="60"/>
      <c r="G1107" s="59"/>
    </row>
    <row r="1108" spans="1:7" ht="48.75" customHeight="1">
      <c r="A1108" s="171"/>
      <c r="B1108" s="85" t="s">
        <v>719</v>
      </c>
      <c r="C1108" s="74" t="s">
        <v>160</v>
      </c>
      <c r="D1108" s="87" t="s">
        <v>156</v>
      </c>
      <c r="E1108" s="171"/>
      <c r="F1108" s="60">
        <v>100</v>
      </c>
      <c r="G1108" s="59">
        <f>F1108</f>
        <v>100</v>
      </c>
    </row>
    <row r="1109" spans="1:7" ht="41.25" customHeight="1">
      <c r="A1109" s="171"/>
      <c r="B1109" s="224" t="s">
        <v>1013</v>
      </c>
      <c r="C1109" s="225"/>
      <c r="D1109" s="60"/>
      <c r="E1109" s="171"/>
      <c r="F1109" s="96"/>
      <c r="G1109" s="59"/>
    </row>
    <row r="1110" spans="1:7" ht="15.75">
      <c r="A1110" s="171">
        <v>1</v>
      </c>
      <c r="B1110" s="155" t="s">
        <v>34</v>
      </c>
      <c r="C1110" s="76"/>
      <c r="D1110" s="60"/>
      <c r="E1110" s="171"/>
      <c r="F1110" s="60"/>
      <c r="G1110" s="62"/>
    </row>
    <row r="1111" spans="1:7" ht="38.25">
      <c r="A1111" s="171"/>
      <c r="B1111" s="85" t="s">
        <v>720</v>
      </c>
      <c r="C1111" s="74" t="s">
        <v>127</v>
      </c>
      <c r="D1111" s="87" t="s">
        <v>286</v>
      </c>
      <c r="E1111" s="171"/>
      <c r="F1111" s="90">
        <v>500000</v>
      </c>
      <c r="G1111" s="62">
        <f>F1111</f>
        <v>500000</v>
      </c>
    </row>
    <row r="1112" spans="1:7" ht="21.75" customHeight="1">
      <c r="A1112" s="171">
        <v>2</v>
      </c>
      <c r="B1112" s="155" t="s">
        <v>35</v>
      </c>
      <c r="C1112" s="76"/>
      <c r="D1112" s="60"/>
      <c r="E1112" s="171"/>
      <c r="F1112" s="60"/>
      <c r="G1112" s="62"/>
    </row>
    <row r="1113" spans="1:7" ht="50.25" customHeight="1">
      <c r="A1113" s="171"/>
      <c r="B1113" s="106" t="s">
        <v>721</v>
      </c>
      <c r="C1113" s="76" t="s">
        <v>598</v>
      </c>
      <c r="D1113" s="87" t="s">
        <v>144</v>
      </c>
      <c r="E1113" s="171"/>
      <c r="F1113" s="60">
        <v>1</v>
      </c>
      <c r="G1113" s="62">
        <f>F1113</f>
        <v>1</v>
      </c>
    </row>
    <row r="1114" spans="1:7" ht="51.75" customHeight="1">
      <c r="A1114" s="171"/>
      <c r="B1114" s="85" t="s">
        <v>714</v>
      </c>
      <c r="C1114" s="74" t="s">
        <v>287</v>
      </c>
      <c r="D1114" s="74" t="s">
        <v>148</v>
      </c>
      <c r="E1114" s="171"/>
      <c r="F1114" s="90">
        <v>218.18181818181819</v>
      </c>
      <c r="G1114" s="62">
        <f>F1114</f>
        <v>218.18181818181819</v>
      </c>
    </row>
    <row r="1115" spans="1:7" ht="15.75">
      <c r="A1115" s="171">
        <v>3</v>
      </c>
      <c r="B1115" s="155" t="s">
        <v>36</v>
      </c>
      <c r="C1115" s="76"/>
      <c r="D1115" s="60"/>
      <c r="E1115" s="171"/>
      <c r="F1115" s="60"/>
      <c r="G1115" s="62"/>
    </row>
    <row r="1116" spans="1:7" ht="51" customHeight="1">
      <c r="A1116" s="171"/>
      <c r="B1116" s="85" t="s">
        <v>715</v>
      </c>
      <c r="C1116" s="74" t="s">
        <v>132</v>
      </c>
      <c r="D1116" s="127" t="s">
        <v>144</v>
      </c>
      <c r="E1116" s="171"/>
      <c r="F1116" s="90">
        <v>20000</v>
      </c>
      <c r="G1116" s="59">
        <f>F1116</f>
        <v>20000</v>
      </c>
    </row>
    <row r="1117" spans="1:7" ht="38.25" customHeight="1">
      <c r="A1117" s="171"/>
      <c r="B1117" s="85" t="s">
        <v>716</v>
      </c>
      <c r="C1117" s="74" t="s">
        <v>132</v>
      </c>
      <c r="D1117" s="74" t="s">
        <v>144</v>
      </c>
      <c r="E1117" s="171"/>
      <c r="F1117" s="90">
        <v>2200</v>
      </c>
      <c r="G1117" s="59">
        <f>F1117</f>
        <v>2200</v>
      </c>
    </row>
    <row r="1118" spans="1:7" ht="19.5" customHeight="1">
      <c r="A1118" s="171">
        <v>4</v>
      </c>
      <c r="B1118" s="155" t="s">
        <v>37</v>
      </c>
      <c r="C1118" s="76"/>
      <c r="D1118" s="60"/>
      <c r="E1118" s="171"/>
      <c r="F1118" s="96"/>
      <c r="G1118" s="59"/>
    </row>
    <row r="1119" spans="1:7" ht="42.75" customHeight="1">
      <c r="A1119" s="171"/>
      <c r="B1119" s="85" t="s">
        <v>722</v>
      </c>
      <c r="C1119" s="74" t="s">
        <v>160</v>
      </c>
      <c r="D1119" s="87" t="s">
        <v>156</v>
      </c>
      <c r="E1119" s="171"/>
      <c r="F1119" s="60">
        <v>100</v>
      </c>
      <c r="G1119" s="62">
        <f>F1119</f>
        <v>100</v>
      </c>
    </row>
    <row r="1120" spans="1:7" ht="36" customHeight="1">
      <c r="A1120" s="171"/>
      <c r="B1120" s="209" t="s">
        <v>1014</v>
      </c>
      <c r="C1120" s="210"/>
      <c r="D1120" s="87"/>
      <c r="E1120" s="171"/>
      <c r="F1120" s="60"/>
      <c r="G1120" s="62"/>
    </row>
    <row r="1121" spans="1:13" ht="15.75">
      <c r="A1121" s="171">
        <v>1</v>
      </c>
      <c r="B1121" s="155" t="s">
        <v>34</v>
      </c>
      <c r="C1121" s="74"/>
      <c r="D1121" s="87"/>
      <c r="E1121" s="171"/>
      <c r="F1121" s="60"/>
      <c r="G1121" s="62"/>
    </row>
    <row r="1122" spans="1:13" ht="38.25">
      <c r="A1122" s="171"/>
      <c r="B1122" s="85" t="s">
        <v>882</v>
      </c>
      <c r="C1122" s="74" t="s">
        <v>127</v>
      </c>
      <c r="D1122" s="87" t="s">
        <v>286</v>
      </c>
      <c r="E1122" s="171"/>
      <c r="F1122" s="90">
        <v>100000</v>
      </c>
      <c r="G1122" s="62">
        <f>F1122</f>
        <v>100000</v>
      </c>
    </row>
    <row r="1123" spans="1:13" ht="15.75">
      <c r="A1123" s="171">
        <v>2</v>
      </c>
      <c r="B1123" s="155" t="s">
        <v>35</v>
      </c>
      <c r="C1123" s="76"/>
      <c r="D1123" s="60"/>
      <c r="E1123" s="171"/>
      <c r="F1123" s="60"/>
      <c r="G1123" s="62"/>
    </row>
    <row r="1124" spans="1:13" ht="51">
      <c r="A1124" s="171"/>
      <c r="B1124" s="106" t="s">
        <v>883</v>
      </c>
      <c r="C1124" s="76" t="s">
        <v>598</v>
      </c>
      <c r="D1124" s="87" t="s">
        <v>144</v>
      </c>
      <c r="E1124" s="171"/>
      <c r="F1124" s="60">
        <v>1</v>
      </c>
      <c r="G1124" s="62">
        <f>F1124</f>
        <v>1</v>
      </c>
      <c r="M1124" s="35" t="s">
        <v>135</v>
      </c>
    </row>
    <row r="1125" spans="1:13" ht="38.25">
      <c r="A1125" s="171"/>
      <c r="B1125" s="85" t="s">
        <v>884</v>
      </c>
      <c r="C1125" s="74" t="s">
        <v>287</v>
      </c>
      <c r="D1125" s="74" t="s">
        <v>148</v>
      </c>
      <c r="E1125" s="171"/>
      <c r="F1125" s="90">
        <f>(F1122-F1127)/F1128</f>
        <v>36.363636363636367</v>
      </c>
      <c r="G1125" s="62">
        <f>F1125</f>
        <v>36.363636363636367</v>
      </c>
    </row>
    <row r="1126" spans="1:13" ht="15.75">
      <c r="A1126" s="171">
        <v>3</v>
      </c>
      <c r="B1126" s="155" t="s">
        <v>36</v>
      </c>
      <c r="C1126" s="76"/>
      <c r="D1126" s="60"/>
      <c r="E1126" s="171"/>
      <c r="F1126" s="60"/>
      <c r="G1126" s="62"/>
    </row>
    <row r="1127" spans="1:13" ht="38.25">
      <c r="A1127" s="171"/>
      <c r="B1127" s="85" t="s">
        <v>885</v>
      </c>
      <c r="C1127" s="74" t="s">
        <v>132</v>
      </c>
      <c r="D1127" s="127" t="s">
        <v>144</v>
      </c>
      <c r="E1127" s="171"/>
      <c r="F1127" s="90">
        <v>20000</v>
      </c>
      <c r="G1127" s="62">
        <f>F1127</f>
        <v>20000</v>
      </c>
    </row>
    <row r="1128" spans="1:13" ht="42" customHeight="1">
      <c r="A1128" s="171"/>
      <c r="B1128" s="85" t="s">
        <v>886</v>
      </c>
      <c r="C1128" s="74" t="s">
        <v>132</v>
      </c>
      <c r="D1128" s="74" t="s">
        <v>144</v>
      </c>
      <c r="E1128" s="171"/>
      <c r="F1128" s="90">
        <v>2200</v>
      </c>
      <c r="G1128" s="62">
        <f>F1128</f>
        <v>2200</v>
      </c>
    </row>
    <row r="1129" spans="1:13" ht="15.75">
      <c r="A1129" s="171">
        <v>4</v>
      </c>
      <c r="B1129" s="155" t="s">
        <v>37</v>
      </c>
      <c r="C1129" s="76"/>
      <c r="D1129" s="60"/>
      <c r="E1129" s="171"/>
      <c r="F1129" s="60"/>
      <c r="G1129" s="62"/>
    </row>
    <row r="1130" spans="1:13" ht="42" customHeight="1">
      <c r="A1130" s="171"/>
      <c r="B1130" s="85" t="s">
        <v>887</v>
      </c>
      <c r="C1130" s="74" t="s">
        <v>160</v>
      </c>
      <c r="D1130" s="87" t="s">
        <v>156</v>
      </c>
      <c r="E1130" s="171"/>
      <c r="F1130" s="60"/>
      <c r="G1130" s="62"/>
    </row>
    <row r="1131" spans="1:13" ht="34.5" customHeight="1">
      <c r="A1131" s="171"/>
      <c r="B1131" s="209" t="s">
        <v>1015</v>
      </c>
      <c r="C1131" s="210"/>
      <c r="D1131" s="87"/>
      <c r="E1131" s="171"/>
      <c r="F1131" s="60"/>
      <c r="G1131" s="62"/>
    </row>
    <row r="1132" spans="1:13" ht="15.75">
      <c r="A1132" s="171">
        <v>1</v>
      </c>
      <c r="B1132" s="155" t="s">
        <v>34</v>
      </c>
      <c r="C1132" s="74"/>
      <c r="D1132" s="87"/>
      <c r="E1132" s="171"/>
      <c r="F1132" s="60"/>
      <c r="G1132" s="62"/>
    </row>
    <row r="1133" spans="1:13" ht="38.25">
      <c r="A1133" s="171"/>
      <c r="B1133" s="85" t="s">
        <v>888</v>
      </c>
      <c r="C1133" s="74" t="s">
        <v>127</v>
      </c>
      <c r="D1133" s="87" t="s">
        <v>286</v>
      </c>
      <c r="E1133" s="171"/>
      <c r="F1133" s="90">
        <v>100000</v>
      </c>
      <c r="G1133" s="62">
        <f>F1133</f>
        <v>100000</v>
      </c>
    </row>
    <row r="1134" spans="1:13" ht="15.75">
      <c r="A1134" s="171">
        <v>2</v>
      </c>
      <c r="B1134" s="155" t="s">
        <v>35</v>
      </c>
      <c r="C1134" s="76"/>
      <c r="D1134" s="60"/>
      <c r="E1134" s="171"/>
      <c r="F1134" s="60"/>
      <c r="G1134" s="62"/>
    </row>
    <row r="1135" spans="1:13" ht="51">
      <c r="A1135" s="171"/>
      <c r="B1135" s="106" t="s">
        <v>889</v>
      </c>
      <c r="C1135" s="76" t="s">
        <v>598</v>
      </c>
      <c r="D1135" s="87" t="s">
        <v>144</v>
      </c>
      <c r="E1135" s="171"/>
      <c r="F1135" s="60">
        <v>1</v>
      </c>
      <c r="G1135" s="62">
        <f>F1135</f>
        <v>1</v>
      </c>
    </row>
    <row r="1136" spans="1:13" ht="38.25">
      <c r="A1136" s="171"/>
      <c r="B1136" s="85" t="s">
        <v>890</v>
      </c>
      <c r="C1136" s="74" t="s">
        <v>287</v>
      </c>
      <c r="D1136" s="74" t="s">
        <v>148</v>
      </c>
      <c r="E1136" s="171"/>
      <c r="F1136" s="90">
        <f>(F1133-F1138)/F1139</f>
        <v>36.363636363636367</v>
      </c>
      <c r="G1136" s="62">
        <f>F1136</f>
        <v>36.363636363636367</v>
      </c>
    </row>
    <row r="1137" spans="1:7" ht="15.75">
      <c r="A1137" s="171">
        <v>3</v>
      </c>
      <c r="B1137" s="155" t="s">
        <v>36</v>
      </c>
      <c r="C1137" s="76"/>
      <c r="D1137" s="60"/>
      <c r="E1137" s="171"/>
      <c r="F1137" s="60"/>
      <c r="G1137" s="62"/>
    </row>
    <row r="1138" spans="1:7" ht="49.5" customHeight="1">
      <c r="A1138" s="171"/>
      <c r="B1138" s="85" t="s">
        <v>891</v>
      </c>
      <c r="C1138" s="74" t="s">
        <v>132</v>
      </c>
      <c r="D1138" s="127" t="s">
        <v>144</v>
      </c>
      <c r="E1138" s="171"/>
      <c r="F1138" s="90">
        <v>20000</v>
      </c>
      <c r="G1138" s="62">
        <f>F1138</f>
        <v>20000</v>
      </c>
    </row>
    <row r="1139" spans="1:7" ht="44.25" customHeight="1">
      <c r="A1139" s="171"/>
      <c r="B1139" s="85" t="s">
        <v>892</v>
      </c>
      <c r="C1139" s="74" t="s">
        <v>132</v>
      </c>
      <c r="D1139" s="74" t="s">
        <v>144</v>
      </c>
      <c r="E1139" s="171"/>
      <c r="F1139" s="90">
        <v>2200</v>
      </c>
      <c r="G1139" s="62">
        <f>F1139</f>
        <v>2200</v>
      </c>
    </row>
    <row r="1140" spans="1:7" ht="15.75">
      <c r="A1140" s="171">
        <v>4</v>
      </c>
      <c r="B1140" s="155" t="s">
        <v>37</v>
      </c>
      <c r="C1140" s="76"/>
      <c r="D1140" s="60"/>
      <c r="E1140" s="171"/>
      <c r="F1140" s="60"/>
      <c r="G1140" s="62"/>
    </row>
    <row r="1141" spans="1:7" ht="48.75" customHeight="1">
      <c r="A1141" s="171"/>
      <c r="B1141" s="85" t="s">
        <v>893</v>
      </c>
      <c r="C1141" s="74" t="s">
        <v>160</v>
      </c>
      <c r="D1141" s="87" t="s">
        <v>156</v>
      </c>
      <c r="E1141" s="171"/>
      <c r="F1141" s="60">
        <v>100</v>
      </c>
      <c r="G1141" s="62">
        <f>F1141</f>
        <v>100</v>
      </c>
    </row>
    <row r="1142" spans="1:7" ht="38.25" customHeight="1">
      <c r="A1142" s="171"/>
      <c r="B1142" s="224" t="s">
        <v>1016</v>
      </c>
      <c r="C1142" s="225"/>
      <c r="D1142" s="60"/>
      <c r="E1142" s="171"/>
      <c r="F1142" s="60"/>
      <c r="G1142" s="62"/>
    </row>
    <row r="1143" spans="1:7" ht="15.75">
      <c r="A1143" s="171">
        <v>1</v>
      </c>
      <c r="B1143" s="155" t="s">
        <v>34</v>
      </c>
      <c r="C1143" s="76"/>
      <c r="D1143" s="60"/>
      <c r="E1143" s="171"/>
      <c r="F1143" s="60"/>
      <c r="G1143" s="62"/>
    </row>
    <row r="1144" spans="1:7" ht="44.25" customHeight="1">
      <c r="A1144" s="171"/>
      <c r="B1144" s="85" t="s">
        <v>1064</v>
      </c>
      <c r="C1144" s="74" t="s">
        <v>127</v>
      </c>
      <c r="D1144" s="87" t="s">
        <v>286</v>
      </c>
      <c r="E1144" s="171"/>
      <c r="F1144" s="95">
        <f>50000</f>
        <v>50000</v>
      </c>
      <c r="G1144" s="62">
        <f>F1144</f>
        <v>50000</v>
      </c>
    </row>
    <row r="1145" spans="1:7" ht="15.75">
      <c r="A1145" s="171">
        <v>2</v>
      </c>
      <c r="B1145" s="155" t="s">
        <v>35</v>
      </c>
      <c r="C1145" s="76"/>
      <c r="D1145" s="60"/>
      <c r="E1145" s="171"/>
      <c r="F1145" s="60"/>
      <c r="G1145" s="62"/>
    </row>
    <row r="1146" spans="1:7" ht="62.25" customHeight="1">
      <c r="A1146" s="171"/>
      <c r="B1146" s="106" t="s">
        <v>1066</v>
      </c>
      <c r="C1146" s="76" t="s">
        <v>598</v>
      </c>
      <c r="D1146" s="87" t="s">
        <v>144</v>
      </c>
      <c r="E1146" s="171"/>
      <c r="F1146" s="95">
        <v>1</v>
      </c>
      <c r="G1146" s="62">
        <f>F1146</f>
        <v>1</v>
      </c>
    </row>
    <row r="1147" spans="1:7" ht="15.75">
      <c r="A1147" s="171">
        <v>3</v>
      </c>
      <c r="B1147" s="155" t="s">
        <v>36</v>
      </c>
      <c r="C1147" s="76"/>
      <c r="D1147" s="60"/>
      <c r="E1147" s="171"/>
      <c r="F1147" s="60"/>
      <c r="G1147" s="62"/>
    </row>
    <row r="1148" spans="1:7" ht="55.5" customHeight="1">
      <c r="A1148" s="171"/>
      <c r="B1148" s="85" t="s">
        <v>1017</v>
      </c>
      <c r="C1148" s="74" t="s">
        <v>132</v>
      </c>
      <c r="D1148" s="127" t="s">
        <v>144</v>
      </c>
      <c r="E1148" s="171"/>
      <c r="F1148" s="90">
        <v>50000</v>
      </c>
      <c r="G1148" s="62">
        <f>F1148</f>
        <v>50000</v>
      </c>
    </row>
    <row r="1149" spans="1:7" ht="15.75">
      <c r="A1149" s="171">
        <v>4</v>
      </c>
      <c r="B1149" s="155" t="s">
        <v>37</v>
      </c>
      <c r="C1149" s="76"/>
      <c r="D1149" s="60"/>
      <c r="E1149" s="171"/>
      <c r="F1149" s="60"/>
      <c r="G1149" s="62"/>
    </row>
    <row r="1150" spans="1:7" ht="52.5" customHeight="1">
      <c r="A1150" s="171"/>
      <c r="B1150" s="85" t="s">
        <v>1065</v>
      </c>
      <c r="C1150" s="74" t="s">
        <v>160</v>
      </c>
      <c r="D1150" s="87" t="s">
        <v>156</v>
      </c>
      <c r="E1150" s="171"/>
      <c r="F1150" s="60">
        <v>100</v>
      </c>
      <c r="G1150" s="62">
        <f>F1150</f>
        <v>100</v>
      </c>
    </row>
    <row r="1151" spans="1:7" ht="38.25" customHeight="1">
      <c r="A1151" s="171"/>
      <c r="B1151" s="224" t="s">
        <v>1024</v>
      </c>
      <c r="C1151" s="225"/>
      <c r="D1151" s="60"/>
      <c r="E1151" s="171"/>
      <c r="F1151" s="60"/>
      <c r="G1151" s="62"/>
    </row>
    <row r="1152" spans="1:7" ht="15.75">
      <c r="A1152" s="171">
        <v>1</v>
      </c>
      <c r="B1152" s="155" t="s">
        <v>34</v>
      </c>
      <c r="C1152" s="76"/>
      <c r="D1152" s="60"/>
      <c r="E1152" s="171"/>
      <c r="F1152" s="60"/>
      <c r="G1152" s="62"/>
    </row>
    <row r="1153" spans="1:7" ht="48" customHeight="1">
      <c r="A1153" s="171"/>
      <c r="B1153" s="85" t="s">
        <v>1018</v>
      </c>
      <c r="C1153" s="74" t="s">
        <v>127</v>
      </c>
      <c r="D1153" s="87" t="s">
        <v>286</v>
      </c>
      <c r="E1153" s="171"/>
      <c r="F1153" s="95">
        <f>1450000</f>
        <v>1450000</v>
      </c>
      <c r="G1153" s="62">
        <f>F1153</f>
        <v>1450000</v>
      </c>
    </row>
    <row r="1154" spans="1:7" ht="15.75">
      <c r="A1154" s="171">
        <v>2</v>
      </c>
      <c r="B1154" s="155" t="s">
        <v>35</v>
      </c>
      <c r="C1154" s="76"/>
      <c r="D1154" s="60"/>
      <c r="E1154" s="171"/>
      <c r="F1154" s="60"/>
      <c r="G1154" s="62"/>
    </row>
    <row r="1155" spans="1:7" ht="55.5" customHeight="1">
      <c r="A1155" s="171"/>
      <c r="B1155" s="106" t="s">
        <v>1019</v>
      </c>
      <c r="C1155" s="76" t="s">
        <v>598</v>
      </c>
      <c r="D1155" s="87" t="s">
        <v>144</v>
      </c>
      <c r="E1155" s="171"/>
      <c r="F1155" s="95">
        <v>1</v>
      </c>
      <c r="G1155" s="62">
        <f>F1155</f>
        <v>1</v>
      </c>
    </row>
    <row r="1156" spans="1:7" ht="48" customHeight="1">
      <c r="A1156" s="171"/>
      <c r="B1156" s="85" t="s">
        <v>1020</v>
      </c>
      <c r="C1156" s="74" t="s">
        <v>287</v>
      </c>
      <c r="D1156" s="74" t="s">
        <v>148</v>
      </c>
      <c r="E1156" s="171"/>
      <c r="F1156" s="96">
        <v>663.63636363636363</v>
      </c>
      <c r="G1156" s="62">
        <f>F1156</f>
        <v>663.63636363636363</v>
      </c>
    </row>
    <row r="1157" spans="1:7" ht="15.75">
      <c r="A1157" s="171">
        <v>3</v>
      </c>
      <c r="B1157" s="155" t="s">
        <v>36</v>
      </c>
      <c r="C1157" s="76"/>
      <c r="D1157" s="60"/>
      <c r="E1157" s="171"/>
      <c r="F1157" s="60"/>
      <c r="G1157" s="62"/>
    </row>
    <row r="1158" spans="1:7" ht="51.75" customHeight="1">
      <c r="A1158" s="171"/>
      <c r="B1158" s="85" t="s">
        <v>1021</v>
      </c>
      <c r="C1158" s="74" t="s">
        <v>132</v>
      </c>
      <c r="D1158" s="127" t="s">
        <v>144</v>
      </c>
      <c r="E1158" s="171"/>
      <c r="F1158" s="90">
        <v>40000</v>
      </c>
      <c r="G1158" s="62">
        <f>F1158</f>
        <v>40000</v>
      </c>
    </row>
    <row r="1159" spans="1:7" ht="50.25" customHeight="1">
      <c r="A1159" s="171"/>
      <c r="B1159" s="85" t="s">
        <v>1022</v>
      </c>
      <c r="C1159" s="74" t="s">
        <v>132</v>
      </c>
      <c r="D1159" s="74" t="s">
        <v>144</v>
      </c>
      <c r="E1159" s="171"/>
      <c r="F1159" s="90">
        <v>2200</v>
      </c>
      <c r="G1159" s="62">
        <f>F1159</f>
        <v>2200</v>
      </c>
    </row>
    <row r="1160" spans="1:7" ht="15.75">
      <c r="A1160" s="171">
        <v>4</v>
      </c>
      <c r="B1160" s="155" t="s">
        <v>37</v>
      </c>
      <c r="C1160" s="76"/>
      <c r="D1160" s="60"/>
      <c r="E1160" s="171"/>
      <c r="F1160" s="60"/>
      <c r="G1160" s="62"/>
    </row>
    <row r="1161" spans="1:7" ht="49.5" customHeight="1">
      <c r="A1161" s="171"/>
      <c r="B1161" s="85" t="s">
        <v>1023</v>
      </c>
      <c r="C1161" s="74" t="s">
        <v>160</v>
      </c>
      <c r="D1161" s="87" t="s">
        <v>156</v>
      </c>
      <c r="E1161" s="171"/>
      <c r="F1161" s="60">
        <v>100</v>
      </c>
      <c r="G1161" s="62">
        <f>F1161</f>
        <v>100</v>
      </c>
    </row>
    <row r="1162" spans="1:7" ht="36" customHeight="1">
      <c r="A1162" s="171"/>
      <c r="B1162" s="224" t="s">
        <v>1025</v>
      </c>
      <c r="C1162" s="225"/>
      <c r="D1162" s="60"/>
      <c r="E1162" s="171"/>
      <c r="F1162" s="60"/>
      <c r="G1162" s="62"/>
    </row>
    <row r="1163" spans="1:7" ht="15.75">
      <c r="A1163" s="171">
        <v>1</v>
      </c>
      <c r="B1163" s="155" t="s">
        <v>34</v>
      </c>
      <c r="C1163" s="76"/>
      <c r="D1163" s="60"/>
      <c r="E1163" s="171"/>
      <c r="F1163" s="60"/>
      <c r="G1163" s="62"/>
    </row>
    <row r="1164" spans="1:7" ht="47.25" customHeight="1">
      <c r="A1164" s="171"/>
      <c r="B1164" s="85" t="s">
        <v>1026</v>
      </c>
      <c r="C1164" s="74" t="s">
        <v>127</v>
      </c>
      <c r="D1164" s="87" t="s">
        <v>286</v>
      </c>
      <c r="E1164" s="171"/>
      <c r="F1164" s="90">
        <f>250000</f>
        <v>250000</v>
      </c>
      <c r="G1164" s="62">
        <f>F1164</f>
        <v>250000</v>
      </c>
    </row>
    <row r="1165" spans="1:7" ht="15.75">
      <c r="A1165" s="171">
        <v>2</v>
      </c>
      <c r="B1165" s="155" t="s">
        <v>35</v>
      </c>
      <c r="C1165" s="76"/>
      <c r="D1165" s="60"/>
      <c r="E1165" s="171"/>
      <c r="F1165" s="60"/>
      <c r="G1165" s="62"/>
    </row>
    <row r="1166" spans="1:7" ht="65.25" customHeight="1">
      <c r="A1166" s="171"/>
      <c r="B1166" s="106" t="s">
        <v>1027</v>
      </c>
      <c r="C1166" s="76" t="s">
        <v>598</v>
      </c>
      <c r="D1166" s="87" t="s">
        <v>144</v>
      </c>
      <c r="E1166" s="171"/>
      <c r="F1166" s="60">
        <v>1</v>
      </c>
      <c r="G1166" s="62">
        <f>F1166</f>
        <v>1</v>
      </c>
    </row>
    <row r="1167" spans="1:7" ht="50.25" customHeight="1">
      <c r="A1167" s="171"/>
      <c r="B1167" s="85" t="s">
        <v>1028</v>
      </c>
      <c r="C1167" s="74" t="s">
        <v>287</v>
      </c>
      <c r="D1167" s="74" t="s">
        <v>148</v>
      </c>
      <c r="E1167" s="171"/>
      <c r="F1167" s="93">
        <f>(F1164-F1169)/F1170</f>
        <v>102.27272727272727</v>
      </c>
      <c r="G1167" s="78">
        <f>F1167</f>
        <v>102.27272727272727</v>
      </c>
    </row>
    <row r="1168" spans="1:7" ht="15.75">
      <c r="A1168" s="171">
        <v>3</v>
      </c>
      <c r="B1168" s="155" t="s">
        <v>36</v>
      </c>
      <c r="C1168" s="76"/>
      <c r="D1168" s="60"/>
      <c r="E1168" s="171"/>
      <c r="F1168" s="60"/>
      <c r="G1168" s="62"/>
    </row>
    <row r="1169" spans="1:7" ht="57.75" customHeight="1">
      <c r="A1169" s="171"/>
      <c r="B1169" s="85" t="s">
        <v>1029</v>
      </c>
      <c r="C1169" s="74" t="s">
        <v>132</v>
      </c>
      <c r="D1169" s="127" t="s">
        <v>144</v>
      </c>
      <c r="E1169" s="171"/>
      <c r="F1169" s="90">
        <v>25000</v>
      </c>
      <c r="G1169" s="59">
        <f>F1169</f>
        <v>25000</v>
      </c>
    </row>
    <row r="1170" spans="1:7" ht="42" customHeight="1">
      <c r="A1170" s="171"/>
      <c r="B1170" s="85" t="s">
        <v>1030</v>
      </c>
      <c r="C1170" s="74" t="s">
        <v>132</v>
      </c>
      <c r="D1170" s="74" t="s">
        <v>144</v>
      </c>
      <c r="E1170" s="171"/>
      <c r="F1170" s="90">
        <v>2200</v>
      </c>
      <c r="G1170" s="59">
        <f>F1170</f>
        <v>2200</v>
      </c>
    </row>
    <row r="1171" spans="1:7" ht="15.75">
      <c r="A1171" s="171">
        <v>4</v>
      </c>
      <c r="B1171" s="155" t="s">
        <v>37</v>
      </c>
      <c r="C1171" s="76"/>
      <c r="D1171" s="60"/>
      <c r="E1171" s="171"/>
      <c r="F1171" s="90"/>
      <c r="G1171" s="59"/>
    </row>
    <row r="1172" spans="1:7" ht="53.25" customHeight="1">
      <c r="A1172" s="171"/>
      <c r="B1172" s="85" t="s">
        <v>1031</v>
      </c>
      <c r="C1172" s="74" t="s">
        <v>160</v>
      </c>
      <c r="D1172" s="87" t="s">
        <v>156</v>
      </c>
      <c r="E1172" s="171"/>
      <c r="F1172" s="90">
        <v>100</v>
      </c>
      <c r="G1172" s="59">
        <f>F1172</f>
        <v>100</v>
      </c>
    </row>
    <row r="1173" spans="1:7" ht="41.25" customHeight="1">
      <c r="A1173" s="171"/>
      <c r="B1173" s="224" t="s">
        <v>1032</v>
      </c>
      <c r="C1173" s="225"/>
      <c r="D1173" s="60"/>
      <c r="E1173" s="171"/>
      <c r="F1173" s="60"/>
      <c r="G1173" s="62"/>
    </row>
    <row r="1174" spans="1:7" ht="15.75">
      <c r="A1174" s="171">
        <v>1</v>
      </c>
      <c r="B1174" s="155" t="s">
        <v>34</v>
      </c>
      <c r="C1174" s="76"/>
      <c r="D1174" s="60"/>
      <c r="E1174" s="171"/>
      <c r="F1174" s="60"/>
      <c r="G1174" s="62"/>
    </row>
    <row r="1175" spans="1:7" ht="44.25" customHeight="1">
      <c r="A1175" s="171"/>
      <c r="B1175" s="85" t="s">
        <v>1033</v>
      </c>
      <c r="C1175" s="74" t="s">
        <v>127</v>
      </c>
      <c r="D1175" s="87" t="s">
        <v>286</v>
      </c>
      <c r="E1175" s="171"/>
      <c r="F1175" s="90">
        <f>1000000</f>
        <v>1000000</v>
      </c>
      <c r="G1175" s="62">
        <f>F1175</f>
        <v>1000000</v>
      </c>
    </row>
    <row r="1176" spans="1:7" ht="15.75">
      <c r="A1176" s="171">
        <v>2</v>
      </c>
      <c r="B1176" s="155" t="s">
        <v>35</v>
      </c>
      <c r="C1176" s="76"/>
      <c r="D1176" s="60"/>
      <c r="E1176" s="171"/>
      <c r="F1176" s="60"/>
      <c r="G1176" s="62"/>
    </row>
    <row r="1177" spans="1:7" ht="62.25" customHeight="1">
      <c r="A1177" s="171"/>
      <c r="B1177" s="106" t="s">
        <v>1034</v>
      </c>
      <c r="C1177" s="76" t="s">
        <v>598</v>
      </c>
      <c r="D1177" s="87" t="s">
        <v>144</v>
      </c>
      <c r="E1177" s="171"/>
      <c r="F1177" s="60">
        <v>1</v>
      </c>
      <c r="G1177" s="62">
        <f>F1177</f>
        <v>1</v>
      </c>
    </row>
    <row r="1178" spans="1:7" ht="49.5" customHeight="1">
      <c r="A1178" s="171"/>
      <c r="B1178" s="85" t="s">
        <v>1035</v>
      </c>
      <c r="C1178" s="74" t="s">
        <v>287</v>
      </c>
      <c r="D1178" s="74" t="s">
        <v>148</v>
      </c>
      <c r="E1178" s="171"/>
      <c r="F1178" s="93">
        <f>(F1175-F1180)/F1181</f>
        <v>443.18181818181819</v>
      </c>
      <c r="G1178" s="62">
        <f>F1178</f>
        <v>443.18181818181819</v>
      </c>
    </row>
    <row r="1179" spans="1:7" ht="15.75">
      <c r="A1179" s="171">
        <v>3</v>
      </c>
      <c r="B1179" s="155" t="s">
        <v>36</v>
      </c>
      <c r="C1179" s="76"/>
      <c r="D1179" s="60"/>
      <c r="E1179" s="171"/>
      <c r="F1179" s="60"/>
      <c r="G1179" s="62"/>
    </row>
    <row r="1180" spans="1:7" ht="54" customHeight="1">
      <c r="A1180" s="171"/>
      <c r="B1180" s="85" t="s">
        <v>1036</v>
      </c>
      <c r="C1180" s="74" t="s">
        <v>132</v>
      </c>
      <c r="D1180" s="127" t="s">
        <v>144</v>
      </c>
      <c r="E1180" s="171"/>
      <c r="F1180" s="90">
        <v>25000</v>
      </c>
      <c r="G1180" s="59">
        <f>F1180</f>
        <v>25000</v>
      </c>
    </row>
    <row r="1181" spans="1:7" ht="36.75" customHeight="1">
      <c r="A1181" s="171"/>
      <c r="B1181" s="85" t="s">
        <v>1037</v>
      </c>
      <c r="C1181" s="74" t="s">
        <v>132</v>
      </c>
      <c r="D1181" s="74" t="s">
        <v>144</v>
      </c>
      <c r="E1181" s="171"/>
      <c r="F1181" s="90">
        <v>2200</v>
      </c>
      <c r="G1181" s="59">
        <f>F1181</f>
        <v>2200</v>
      </c>
    </row>
    <row r="1182" spans="1:7" ht="15.75">
      <c r="A1182" s="171">
        <v>4</v>
      </c>
      <c r="B1182" s="155" t="s">
        <v>37</v>
      </c>
      <c r="C1182" s="76"/>
      <c r="D1182" s="60"/>
      <c r="E1182" s="171"/>
      <c r="F1182" s="90"/>
      <c r="G1182" s="59"/>
    </row>
    <row r="1183" spans="1:7" ht="49.5" customHeight="1">
      <c r="A1183" s="171"/>
      <c r="B1183" s="85" t="s">
        <v>1038</v>
      </c>
      <c r="C1183" s="74" t="s">
        <v>160</v>
      </c>
      <c r="D1183" s="87" t="s">
        <v>156</v>
      </c>
      <c r="E1183" s="171"/>
      <c r="F1183" s="90">
        <v>100</v>
      </c>
      <c r="G1183" s="59">
        <f>F1183</f>
        <v>100</v>
      </c>
    </row>
    <row r="1184" spans="1:7" ht="45" customHeight="1">
      <c r="A1184" s="171"/>
      <c r="B1184" s="224" t="s">
        <v>1045</v>
      </c>
      <c r="C1184" s="225"/>
      <c r="D1184" s="60"/>
      <c r="E1184" s="171"/>
      <c r="F1184" s="60"/>
      <c r="G1184" s="62"/>
    </row>
    <row r="1185" spans="1:7" ht="24" customHeight="1">
      <c r="A1185" s="171">
        <v>1</v>
      </c>
      <c r="B1185" s="155" t="s">
        <v>34</v>
      </c>
      <c r="C1185" s="76"/>
      <c r="D1185" s="60"/>
      <c r="E1185" s="171"/>
      <c r="F1185" s="60"/>
      <c r="G1185" s="62"/>
    </row>
    <row r="1186" spans="1:7" ht="38.25">
      <c r="A1186" s="171"/>
      <c r="B1186" s="85" t="s">
        <v>1039</v>
      </c>
      <c r="C1186" s="74" t="s">
        <v>127</v>
      </c>
      <c r="D1186" s="87" t="s">
        <v>286</v>
      </c>
      <c r="E1186" s="171"/>
      <c r="F1186" s="90">
        <f>250000</f>
        <v>250000</v>
      </c>
      <c r="G1186" s="62">
        <f>F1186</f>
        <v>250000</v>
      </c>
    </row>
    <row r="1187" spans="1:7" ht="23.25" customHeight="1">
      <c r="A1187" s="171">
        <v>2</v>
      </c>
      <c r="B1187" s="155" t="s">
        <v>35</v>
      </c>
      <c r="C1187" s="76"/>
      <c r="D1187" s="60"/>
      <c r="E1187" s="171"/>
      <c r="F1187" s="60"/>
      <c r="G1187" s="62"/>
    </row>
    <row r="1188" spans="1:7" ht="60" customHeight="1">
      <c r="A1188" s="171"/>
      <c r="B1188" s="106" t="s">
        <v>1040</v>
      </c>
      <c r="C1188" s="76" t="s">
        <v>598</v>
      </c>
      <c r="D1188" s="87" t="s">
        <v>144</v>
      </c>
      <c r="E1188" s="171"/>
      <c r="F1188" s="60">
        <v>1</v>
      </c>
      <c r="G1188" s="62">
        <f>F1188</f>
        <v>1</v>
      </c>
    </row>
    <row r="1189" spans="1:7" ht="45" customHeight="1">
      <c r="A1189" s="171"/>
      <c r="B1189" s="85" t="s">
        <v>1041</v>
      </c>
      <c r="C1189" s="74" t="s">
        <v>287</v>
      </c>
      <c r="D1189" s="74" t="s">
        <v>148</v>
      </c>
      <c r="E1189" s="171"/>
      <c r="F1189" s="93">
        <f>(F1186-F1191)/F1192</f>
        <v>102.27272727272727</v>
      </c>
      <c r="G1189" s="62">
        <f>F1189</f>
        <v>102.27272727272727</v>
      </c>
    </row>
    <row r="1190" spans="1:7" ht="24.75" customHeight="1">
      <c r="A1190" s="171">
        <v>3</v>
      </c>
      <c r="B1190" s="155" t="s">
        <v>36</v>
      </c>
      <c r="C1190" s="76"/>
      <c r="D1190" s="60"/>
      <c r="E1190" s="171"/>
      <c r="F1190" s="60"/>
      <c r="G1190" s="62"/>
    </row>
    <row r="1191" spans="1:7" ht="44.25" customHeight="1">
      <c r="A1191" s="171"/>
      <c r="B1191" s="85" t="s">
        <v>1042</v>
      </c>
      <c r="C1191" s="74" t="s">
        <v>132</v>
      </c>
      <c r="D1191" s="127" t="s">
        <v>144</v>
      </c>
      <c r="E1191" s="171"/>
      <c r="F1191" s="90">
        <v>25000</v>
      </c>
      <c r="G1191" s="59">
        <f>F1191</f>
        <v>25000</v>
      </c>
    </row>
    <row r="1192" spans="1:7" ht="40.5" customHeight="1">
      <c r="A1192" s="171"/>
      <c r="B1192" s="85" t="s">
        <v>1043</v>
      </c>
      <c r="C1192" s="74" t="s">
        <v>132</v>
      </c>
      <c r="D1192" s="74" t="s">
        <v>144</v>
      </c>
      <c r="E1192" s="171"/>
      <c r="F1192" s="90">
        <v>2200</v>
      </c>
      <c r="G1192" s="59">
        <f>F1192</f>
        <v>2200</v>
      </c>
    </row>
    <row r="1193" spans="1:7" ht="21.75" customHeight="1">
      <c r="A1193" s="171">
        <v>4</v>
      </c>
      <c r="B1193" s="155" t="s">
        <v>37</v>
      </c>
      <c r="C1193" s="76"/>
      <c r="D1193" s="60"/>
      <c r="E1193" s="171"/>
      <c r="F1193" s="90"/>
      <c r="G1193" s="59"/>
    </row>
    <row r="1194" spans="1:7" ht="47.25" customHeight="1">
      <c r="A1194" s="171"/>
      <c r="B1194" s="85" t="s">
        <v>1044</v>
      </c>
      <c r="C1194" s="74" t="s">
        <v>160</v>
      </c>
      <c r="D1194" s="87" t="s">
        <v>156</v>
      </c>
      <c r="E1194" s="171"/>
      <c r="F1194" s="90">
        <v>100</v>
      </c>
      <c r="G1194" s="59">
        <f>F1194</f>
        <v>100</v>
      </c>
    </row>
    <row r="1195" spans="1:7" ht="45.75" customHeight="1">
      <c r="A1195" s="171"/>
      <c r="B1195" s="224" t="s">
        <v>1046</v>
      </c>
      <c r="C1195" s="225"/>
      <c r="D1195" s="60"/>
      <c r="E1195" s="171"/>
      <c r="F1195" s="60"/>
      <c r="G1195" s="62"/>
    </row>
    <row r="1196" spans="1:7" ht="15.75">
      <c r="A1196" s="171">
        <v>1</v>
      </c>
      <c r="B1196" s="155" t="s">
        <v>34</v>
      </c>
      <c r="C1196" s="76"/>
      <c r="D1196" s="60"/>
      <c r="E1196" s="171"/>
      <c r="F1196" s="60"/>
      <c r="G1196" s="62"/>
    </row>
    <row r="1197" spans="1:7" ht="47.25" customHeight="1">
      <c r="A1197" s="171"/>
      <c r="B1197" s="85" t="s">
        <v>1047</v>
      </c>
      <c r="C1197" s="74" t="s">
        <v>127</v>
      </c>
      <c r="D1197" s="87" t="s">
        <v>286</v>
      </c>
      <c r="E1197" s="171"/>
      <c r="F1197" s="90">
        <f>200000</f>
        <v>200000</v>
      </c>
      <c r="G1197" s="62">
        <f>F1197</f>
        <v>200000</v>
      </c>
    </row>
    <row r="1198" spans="1:7" ht="15.75">
      <c r="A1198" s="171">
        <v>2</v>
      </c>
      <c r="B1198" s="155" t="s">
        <v>35</v>
      </c>
      <c r="C1198" s="76"/>
      <c r="D1198" s="60"/>
      <c r="E1198" s="171"/>
      <c r="F1198" s="60"/>
      <c r="G1198" s="62"/>
    </row>
    <row r="1199" spans="1:7" ht="49.5" customHeight="1">
      <c r="A1199" s="171"/>
      <c r="B1199" s="106" t="s">
        <v>1048</v>
      </c>
      <c r="C1199" s="76" t="s">
        <v>598</v>
      </c>
      <c r="D1199" s="87" t="s">
        <v>144</v>
      </c>
      <c r="E1199" s="171"/>
      <c r="F1199" s="60">
        <v>1</v>
      </c>
      <c r="G1199" s="62">
        <f>F1199</f>
        <v>1</v>
      </c>
    </row>
    <row r="1200" spans="1:7" ht="48" customHeight="1">
      <c r="A1200" s="171"/>
      <c r="B1200" s="85" t="s">
        <v>1049</v>
      </c>
      <c r="C1200" s="74" t="s">
        <v>287</v>
      </c>
      <c r="D1200" s="74" t="s">
        <v>148</v>
      </c>
      <c r="E1200" s="171"/>
      <c r="F1200" s="93">
        <f>(F1197-F1202)/F1203</f>
        <v>79.545454545454547</v>
      </c>
      <c r="G1200" s="62">
        <f>F1200</f>
        <v>79.545454545454547</v>
      </c>
    </row>
    <row r="1201" spans="1:7" ht="15.75">
      <c r="A1201" s="171">
        <v>3</v>
      </c>
      <c r="B1201" s="155" t="s">
        <v>36</v>
      </c>
      <c r="C1201" s="76"/>
      <c r="D1201" s="60"/>
      <c r="E1201" s="171"/>
      <c r="F1201" s="60"/>
      <c r="G1201" s="62"/>
    </row>
    <row r="1202" spans="1:7" ht="50.25" customHeight="1">
      <c r="A1202" s="171"/>
      <c r="B1202" s="85" t="s">
        <v>1050</v>
      </c>
      <c r="C1202" s="74" t="s">
        <v>132</v>
      </c>
      <c r="D1202" s="127" t="s">
        <v>144</v>
      </c>
      <c r="E1202" s="171"/>
      <c r="F1202" s="90">
        <v>25000</v>
      </c>
      <c r="G1202" s="59">
        <f>F1202</f>
        <v>25000</v>
      </c>
    </row>
    <row r="1203" spans="1:7" ht="25.5">
      <c r="A1203" s="171"/>
      <c r="B1203" s="85" t="s">
        <v>1051</v>
      </c>
      <c r="C1203" s="74" t="s">
        <v>132</v>
      </c>
      <c r="D1203" s="74" t="s">
        <v>144</v>
      </c>
      <c r="E1203" s="171"/>
      <c r="F1203" s="90">
        <v>2200</v>
      </c>
      <c r="G1203" s="59">
        <f>F1203</f>
        <v>2200</v>
      </c>
    </row>
    <row r="1204" spans="1:7" ht="15.75">
      <c r="A1204" s="171">
        <v>4</v>
      </c>
      <c r="B1204" s="155" t="s">
        <v>37</v>
      </c>
      <c r="C1204" s="76"/>
      <c r="D1204" s="60"/>
      <c r="E1204" s="171"/>
      <c r="F1204" s="90"/>
      <c r="G1204" s="59"/>
    </row>
    <row r="1205" spans="1:7" ht="45.75" customHeight="1">
      <c r="A1205" s="171"/>
      <c r="B1205" s="85" t="s">
        <v>1052</v>
      </c>
      <c r="C1205" s="74" t="s">
        <v>160</v>
      </c>
      <c r="D1205" s="87" t="s">
        <v>156</v>
      </c>
      <c r="E1205" s="171"/>
      <c r="F1205" s="90">
        <v>100</v>
      </c>
      <c r="G1205" s="59">
        <f>F1205</f>
        <v>100</v>
      </c>
    </row>
    <row r="1206" spans="1:7" ht="25.5" customHeight="1">
      <c r="A1206" s="171"/>
      <c r="B1206" s="262" t="s">
        <v>382</v>
      </c>
      <c r="C1206" s="263"/>
      <c r="D1206" s="87"/>
      <c r="E1206" s="171"/>
      <c r="F1206" s="60"/>
      <c r="G1206" s="62"/>
    </row>
    <row r="1207" spans="1:7" ht="31.5" customHeight="1">
      <c r="A1207" s="171"/>
      <c r="B1207" s="209" t="s">
        <v>762</v>
      </c>
      <c r="C1207" s="210"/>
      <c r="D1207" s="87"/>
      <c r="E1207" s="171"/>
      <c r="F1207" s="60"/>
      <c r="G1207" s="62"/>
    </row>
    <row r="1208" spans="1:7" ht="15.75">
      <c r="A1208" s="171">
        <v>1</v>
      </c>
      <c r="B1208" s="155" t="s">
        <v>34</v>
      </c>
      <c r="C1208" s="76"/>
      <c r="D1208" s="60"/>
      <c r="E1208" s="171"/>
      <c r="F1208" s="60"/>
      <c r="G1208" s="62"/>
    </row>
    <row r="1209" spans="1:7" ht="25.5">
      <c r="A1209" s="171"/>
      <c r="B1209" s="85" t="s">
        <v>736</v>
      </c>
      <c r="C1209" s="74" t="s">
        <v>127</v>
      </c>
      <c r="D1209" s="87" t="s">
        <v>286</v>
      </c>
      <c r="E1209" s="171"/>
      <c r="F1209" s="103">
        <v>49000</v>
      </c>
      <c r="G1209" s="102">
        <f>F1209</f>
        <v>49000</v>
      </c>
    </row>
    <row r="1210" spans="1:7" ht="15.75">
      <c r="A1210" s="171">
        <v>2</v>
      </c>
      <c r="B1210" s="155" t="s">
        <v>35</v>
      </c>
      <c r="C1210" s="74"/>
      <c r="D1210" s="87"/>
      <c r="E1210" s="171"/>
      <c r="F1210" s="101"/>
      <c r="G1210" s="102"/>
    </row>
    <row r="1211" spans="1:7" ht="46.5" customHeight="1">
      <c r="A1211" s="171"/>
      <c r="B1211" s="85" t="s">
        <v>732</v>
      </c>
      <c r="C1211" s="74" t="s">
        <v>129</v>
      </c>
      <c r="D1211" s="74" t="s">
        <v>148</v>
      </c>
      <c r="E1211" s="171"/>
      <c r="F1211" s="101">
        <v>1</v>
      </c>
      <c r="G1211" s="102">
        <f>F1211</f>
        <v>1</v>
      </c>
    </row>
    <row r="1212" spans="1:7" ht="38.25">
      <c r="A1212" s="171"/>
      <c r="B1212" s="85" t="s">
        <v>733</v>
      </c>
      <c r="C1212" s="74" t="s">
        <v>175</v>
      </c>
      <c r="D1212" s="74" t="s">
        <v>148</v>
      </c>
      <c r="E1212" s="171"/>
      <c r="F1212" s="101">
        <v>16.399999999999999</v>
      </c>
      <c r="G1212" s="128">
        <f>F1212</f>
        <v>16.399999999999999</v>
      </c>
    </row>
    <row r="1213" spans="1:7" ht="21.75" customHeight="1">
      <c r="A1213" s="171">
        <v>3</v>
      </c>
      <c r="B1213" s="155" t="s">
        <v>36</v>
      </c>
      <c r="C1213" s="74"/>
      <c r="D1213" s="87"/>
      <c r="E1213" s="171"/>
      <c r="F1213" s="103"/>
      <c r="G1213" s="102"/>
    </row>
    <row r="1214" spans="1:7" ht="42.75" customHeight="1">
      <c r="A1214" s="171"/>
      <c r="B1214" s="85" t="s">
        <v>734</v>
      </c>
      <c r="C1214" s="74" t="s">
        <v>127</v>
      </c>
      <c r="D1214" s="74" t="s">
        <v>156</v>
      </c>
      <c r="E1214" s="171"/>
      <c r="F1214" s="103">
        <v>8000</v>
      </c>
      <c r="G1214" s="102">
        <f>F1214</f>
        <v>8000</v>
      </c>
    </row>
    <row r="1215" spans="1:7" ht="32.25" customHeight="1">
      <c r="A1215" s="171"/>
      <c r="B1215" s="85" t="s">
        <v>735</v>
      </c>
      <c r="C1215" s="74" t="s">
        <v>127</v>
      </c>
      <c r="D1215" s="74" t="s">
        <v>156</v>
      </c>
      <c r="E1215" s="171"/>
      <c r="F1215" s="103">
        <v>2500</v>
      </c>
      <c r="G1215" s="102">
        <f>F1215</f>
        <v>2500</v>
      </c>
    </row>
    <row r="1216" spans="1:7" ht="14.25" customHeight="1">
      <c r="A1216" s="171">
        <v>4</v>
      </c>
      <c r="B1216" s="155" t="s">
        <v>37</v>
      </c>
      <c r="C1216" s="76"/>
      <c r="D1216" s="60"/>
      <c r="E1216" s="171"/>
      <c r="F1216" s="103"/>
      <c r="G1216" s="102"/>
    </row>
    <row r="1217" spans="1:7" ht="25.5">
      <c r="A1217" s="171"/>
      <c r="B1217" s="85" t="s">
        <v>737</v>
      </c>
      <c r="C1217" s="74" t="s">
        <v>160</v>
      </c>
      <c r="D1217" s="87" t="s">
        <v>156</v>
      </c>
      <c r="E1217" s="171"/>
      <c r="F1217" s="101">
        <v>100</v>
      </c>
      <c r="G1217" s="102">
        <f>F1217</f>
        <v>100</v>
      </c>
    </row>
    <row r="1218" spans="1:7" ht="36.75" customHeight="1">
      <c r="A1218" s="171"/>
      <c r="B1218" s="209" t="s">
        <v>767</v>
      </c>
      <c r="C1218" s="210"/>
      <c r="D1218" s="87"/>
      <c r="E1218" s="171"/>
      <c r="F1218" s="101"/>
      <c r="G1218" s="102"/>
    </row>
    <row r="1219" spans="1:7" ht="15.75">
      <c r="A1219" s="171">
        <v>1</v>
      </c>
      <c r="B1219" s="155" t="s">
        <v>34</v>
      </c>
      <c r="C1219" s="76"/>
      <c r="D1219" s="60"/>
      <c r="E1219" s="171"/>
      <c r="F1219" s="101"/>
      <c r="G1219" s="102"/>
    </row>
    <row r="1220" spans="1:7" ht="38.25">
      <c r="A1220" s="171"/>
      <c r="B1220" s="85" t="s">
        <v>771</v>
      </c>
      <c r="C1220" s="74" t="s">
        <v>127</v>
      </c>
      <c r="D1220" s="87" t="s">
        <v>286</v>
      </c>
      <c r="E1220" s="171"/>
      <c r="F1220" s="109">
        <f>1000000+450000</f>
        <v>1450000</v>
      </c>
      <c r="G1220" s="102">
        <f>F1220</f>
        <v>1450000</v>
      </c>
    </row>
    <row r="1221" spans="1:7" ht="15.75">
      <c r="A1221" s="171">
        <v>2</v>
      </c>
      <c r="B1221" s="155" t="s">
        <v>35</v>
      </c>
      <c r="C1221" s="74"/>
      <c r="D1221" s="87"/>
      <c r="E1221" s="171"/>
      <c r="F1221" s="101"/>
      <c r="G1221" s="102"/>
    </row>
    <row r="1222" spans="1:7" ht="38.25">
      <c r="A1222" s="171"/>
      <c r="B1222" s="85" t="s">
        <v>763</v>
      </c>
      <c r="C1222" s="74" t="s">
        <v>129</v>
      </c>
      <c r="D1222" s="74" t="s">
        <v>148</v>
      </c>
      <c r="E1222" s="171"/>
      <c r="F1222" s="101">
        <v>1</v>
      </c>
      <c r="G1222" s="102">
        <f>F1222</f>
        <v>1</v>
      </c>
    </row>
    <row r="1223" spans="1:7" ht="38.25">
      <c r="A1223" s="171"/>
      <c r="B1223" s="85" t="s">
        <v>764</v>
      </c>
      <c r="C1223" s="74" t="s">
        <v>175</v>
      </c>
      <c r="D1223" s="74" t="s">
        <v>148</v>
      </c>
      <c r="E1223" s="171"/>
      <c r="F1223" s="147">
        <f>(F1220-F1225)/F1226</f>
        <v>685</v>
      </c>
      <c r="G1223" s="102">
        <f>F1223</f>
        <v>685</v>
      </c>
    </row>
    <row r="1224" spans="1:7" ht="15.75">
      <c r="A1224" s="171">
        <v>3</v>
      </c>
      <c r="B1224" s="155" t="s">
        <v>36</v>
      </c>
      <c r="C1224" s="74"/>
      <c r="D1224" s="87"/>
      <c r="E1224" s="171"/>
      <c r="F1224" s="101"/>
      <c r="G1224" s="102"/>
    </row>
    <row r="1225" spans="1:7" ht="38.25">
      <c r="A1225" s="171"/>
      <c r="B1225" s="85" t="s">
        <v>765</v>
      </c>
      <c r="C1225" s="74" t="s">
        <v>127</v>
      </c>
      <c r="D1225" s="74" t="s">
        <v>156</v>
      </c>
      <c r="E1225" s="171"/>
      <c r="F1225" s="109">
        <v>80000</v>
      </c>
      <c r="G1225" s="102">
        <f>F1225</f>
        <v>80000</v>
      </c>
    </row>
    <row r="1226" spans="1:7" ht="25.5">
      <c r="A1226" s="171"/>
      <c r="B1226" s="85" t="s">
        <v>766</v>
      </c>
      <c r="C1226" s="74" t="s">
        <v>127</v>
      </c>
      <c r="D1226" s="74" t="s">
        <v>156</v>
      </c>
      <c r="E1226" s="171"/>
      <c r="F1226" s="109">
        <v>2000</v>
      </c>
      <c r="G1226" s="102">
        <f>F1226</f>
        <v>2000</v>
      </c>
    </row>
    <row r="1227" spans="1:7" ht="15.75">
      <c r="A1227" s="171">
        <v>4</v>
      </c>
      <c r="B1227" s="155" t="s">
        <v>37</v>
      </c>
      <c r="C1227" s="76"/>
      <c r="D1227" s="60"/>
      <c r="E1227" s="171"/>
      <c r="F1227" s="101"/>
      <c r="G1227" s="102"/>
    </row>
    <row r="1228" spans="1:7" ht="38.25">
      <c r="A1228" s="171"/>
      <c r="B1228" s="85" t="s">
        <v>772</v>
      </c>
      <c r="C1228" s="74" t="s">
        <v>160</v>
      </c>
      <c r="D1228" s="87" t="s">
        <v>156</v>
      </c>
      <c r="E1228" s="171"/>
      <c r="F1228" s="101">
        <v>100</v>
      </c>
      <c r="G1228" s="102">
        <f>F1228</f>
        <v>100</v>
      </c>
    </row>
    <row r="1229" spans="1:7" ht="32.25" customHeight="1">
      <c r="A1229" s="171"/>
      <c r="B1229" s="209" t="s">
        <v>768</v>
      </c>
      <c r="C1229" s="210"/>
      <c r="D1229" s="87"/>
      <c r="E1229" s="171"/>
      <c r="F1229" s="101"/>
      <c r="G1229" s="102"/>
    </row>
    <row r="1230" spans="1:7" ht="15.75">
      <c r="A1230" s="171">
        <v>1</v>
      </c>
      <c r="B1230" s="155" t="s">
        <v>34</v>
      </c>
      <c r="C1230" s="76"/>
      <c r="D1230" s="60"/>
      <c r="E1230" s="171"/>
      <c r="F1230" s="101"/>
      <c r="G1230" s="102"/>
    </row>
    <row r="1231" spans="1:7" ht="38.25">
      <c r="A1231" s="171"/>
      <c r="B1231" s="85" t="s">
        <v>754</v>
      </c>
      <c r="C1231" s="74" t="s">
        <v>127</v>
      </c>
      <c r="D1231" s="87" t="s">
        <v>286</v>
      </c>
      <c r="E1231" s="171"/>
      <c r="F1231" s="109">
        <v>49000</v>
      </c>
      <c r="G1231" s="102">
        <f>F1231</f>
        <v>49000</v>
      </c>
    </row>
    <row r="1232" spans="1:7" ht="15.75">
      <c r="A1232" s="171">
        <v>2</v>
      </c>
      <c r="B1232" s="155" t="s">
        <v>35</v>
      </c>
      <c r="C1232" s="74"/>
      <c r="D1232" s="87"/>
      <c r="E1232" s="171"/>
      <c r="F1232" s="101"/>
      <c r="G1232" s="102"/>
    </row>
    <row r="1233" spans="1:7" ht="38.25">
      <c r="A1233" s="171"/>
      <c r="B1233" s="85" t="s">
        <v>738</v>
      </c>
      <c r="C1233" s="74" t="s">
        <v>129</v>
      </c>
      <c r="D1233" s="74" t="s">
        <v>148</v>
      </c>
      <c r="E1233" s="171"/>
      <c r="F1233" s="101">
        <v>1</v>
      </c>
      <c r="G1233" s="102">
        <f>F1233</f>
        <v>1</v>
      </c>
    </row>
    <row r="1234" spans="1:7" ht="38.25">
      <c r="A1234" s="171"/>
      <c r="B1234" s="85" t="s">
        <v>739</v>
      </c>
      <c r="C1234" s="74" t="s">
        <v>175</v>
      </c>
      <c r="D1234" s="74" t="s">
        <v>148</v>
      </c>
      <c r="E1234" s="171"/>
      <c r="F1234" s="101">
        <v>16.399999999999999</v>
      </c>
      <c r="G1234" s="128">
        <f>F1234</f>
        <v>16.399999999999999</v>
      </c>
    </row>
    <row r="1235" spans="1:7" ht="15.75">
      <c r="A1235" s="171">
        <v>3</v>
      </c>
      <c r="B1235" s="155" t="s">
        <v>36</v>
      </c>
      <c r="C1235" s="74"/>
      <c r="D1235" s="87"/>
      <c r="E1235" s="171"/>
      <c r="F1235" s="101"/>
      <c r="G1235" s="102"/>
    </row>
    <row r="1236" spans="1:7" ht="38.25">
      <c r="A1236" s="171"/>
      <c r="B1236" s="85" t="s">
        <v>740</v>
      </c>
      <c r="C1236" s="74" t="s">
        <v>127</v>
      </c>
      <c r="D1236" s="74" t="s">
        <v>156</v>
      </c>
      <c r="E1236" s="171"/>
      <c r="F1236" s="109">
        <v>8000</v>
      </c>
      <c r="G1236" s="102">
        <f>F1236</f>
        <v>8000</v>
      </c>
    </row>
    <row r="1237" spans="1:7" ht="38.25">
      <c r="A1237" s="171"/>
      <c r="B1237" s="85" t="s">
        <v>741</v>
      </c>
      <c r="C1237" s="74" t="s">
        <v>127</v>
      </c>
      <c r="D1237" s="74" t="s">
        <v>156</v>
      </c>
      <c r="E1237" s="171"/>
      <c r="F1237" s="109">
        <v>2500</v>
      </c>
      <c r="G1237" s="102">
        <f>F1237</f>
        <v>2500</v>
      </c>
    </row>
    <row r="1238" spans="1:7" ht="15.75">
      <c r="A1238" s="171">
        <v>4</v>
      </c>
      <c r="B1238" s="155" t="s">
        <v>37</v>
      </c>
      <c r="C1238" s="76"/>
      <c r="D1238" s="60"/>
      <c r="E1238" s="171"/>
      <c r="F1238" s="101"/>
      <c r="G1238" s="102"/>
    </row>
    <row r="1239" spans="1:7" ht="38.25">
      <c r="A1239" s="171"/>
      <c r="B1239" s="85" t="s">
        <v>755</v>
      </c>
      <c r="C1239" s="74" t="s">
        <v>160</v>
      </c>
      <c r="D1239" s="87" t="s">
        <v>156</v>
      </c>
      <c r="E1239" s="171"/>
      <c r="F1239" s="101">
        <v>100</v>
      </c>
      <c r="G1239" s="102">
        <f>F1239</f>
        <v>100</v>
      </c>
    </row>
    <row r="1240" spans="1:7" ht="30.75" customHeight="1">
      <c r="A1240" s="171"/>
      <c r="B1240" s="209" t="s">
        <v>769</v>
      </c>
      <c r="C1240" s="210"/>
      <c r="D1240" s="87"/>
      <c r="E1240" s="171"/>
      <c r="F1240" s="101"/>
      <c r="G1240" s="102"/>
    </row>
    <row r="1241" spans="1:7" ht="15.75">
      <c r="A1241" s="171">
        <v>1</v>
      </c>
      <c r="B1241" s="155" t="s">
        <v>34</v>
      </c>
      <c r="C1241" s="76"/>
      <c r="D1241" s="60"/>
      <c r="E1241" s="171"/>
      <c r="F1241" s="101"/>
      <c r="G1241" s="102"/>
    </row>
    <row r="1242" spans="1:7" ht="38.25">
      <c r="A1242" s="171"/>
      <c r="B1242" s="85" t="s">
        <v>756</v>
      </c>
      <c r="C1242" s="74" t="s">
        <v>127</v>
      </c>
      <c r="D1242" s="87" t="s">
        <v>286</v>
      </c>
      <c r="E1242" s="171"/>
      <c r="F1242" s="109">
        <v>100000</v>
      </c>
      <c r="G1242" s="102">
        <f>F1242</f>
        <v>100000</v>
      </c>
    </row>
    <row r="1243" spans="1:7" ht="15.75">
      <c r="A1243" s="171">
        <v>2</v>
      </c>
      <c r="B1243" s="155" t="s">
        <v>35</v>
      </c>
      <c r="C1243" s="74"/>
      <c r="D1243" s="87"/>
      <c r="E1243" s="171"/>
      <c r="F1243" s="101"/>
      <c r="G1243" s="102"/>
    </row>
    <row r="1244" spans="1:7" ht="38.25">
      <c r="A1244" s="171"/>
      <c r="B1244" s="85" t="s">
        <v>742</v>
      </c>
      <c r="C1244" s="74" t="s">
        <v>129</v>
      </c>
      <c r="D1244" s="74" t="s">
        <v>148</v>
      </c>
      <c r="E1244" s="171"/>
      <c r="F1244" s="101">
        <v>1</v>
      </c>
      <c r="G1244" s="102">
        <f>F1244</f>
        <v>1</v>
      </c>
    </row>
    <row r="1245" spans="1:7" ht="38.25">
      <c r="A1245" s="171"/>
      <c r="B1245" s="85" t="s">
        <v>743</v>
      </c>
      <c r="C1245" s="74" t="s">
        <v>175</v>
      </c>
      <c r="D1245" s="74" t="s">
        <v>148</v>
      </c>
      <c r="E1245" s="171"/>
      <c r="F1245" s="99">
        <v>36</v>
      </c>
      <c r="G1245" s="128">
        <f>F1245</f>
        <v>36</v>
      </c>
    </row>
    <row r="1246" spans="1:7" ht="15.75">
      <c r="A1246" s="171">
        <v>3</v>
      </c>
      <c r="B1246" s="155" t="s">
        <v>36</v>
      </c>
      <c r="C1246" s="74"/>
      <c r="D1246" s="87"/>
      <c r="E1246" s="171"/>
      <c r="F1246" s="101"/>
      <c r="G1246" s="102"/>
    </row>
    <row r="1247" spans="1:7" ht="38.25">
      <c r="A1247" s="171"/>
      <c r="B1247" s="85" t="s">
        <v>744</v>
      </c>
      <c r="C1247" s="74" t="s">
        <v>127</v>
      </c>
      <c r="D1247" s="74" t="s">
        <v>156</v>
      </c>
      <c r="E1247" s="171"/>
      <c r="F1247" s="109">
        <v>10000</v>
      </c>
      <c r="G1247" s="102">
        <f>F1247</f>
        <v>10000</v>
      </c>
    </row>
    <row r="1248" spans="1:7" ht="25.5">
      <c r="A1248" s="171"/>
      <c r="B1248" s="85" t="s">
        <v>745</v>
      </c>
      <c r="C1248" s="74" t="s">
        <v>127</v>
      </c>
      <c r="D1248" s="74" t="s">
        <v>156</v>
      </c>
      <c r="E1248" s="171"/>
      <c r="F1248" s="109">
        <v>2500</v>
      </c>
      <c r="G1248" s="102">
        <f>F1248</f>
        <v>2500</v>
      </c>
    </row>
    <row r="1249" spans="1:7" ht="15.75">
      <c r="A1249" s="171">
        <v>4</v>
      </c>
      <c r="B1249" s="155" t="s">
        <v>37</v>
      </c>
      <c r="C1249" s="76"/>
      <c r="D1249" s="60"/>
      <c r="E1249" s="171"/>
      <c r="F1249" s="101"/>
      <c r="G1249" s="102"/>
    </row>
    <row r="1250" spans="1:7" ht="38.25">
      <c r="A1250" s="171"/>
      <c r="B1250" s="85" t="s">
        <v>757</v>
      </c>
      <c r="C1250" s="74" t="s">
        <v>160</v>
      </c>
      <c r="D1250" s="87" t="s">
        <v>156</v>
      </c>
      <c r="E1250" s="171"/>
      <c r="F1250" s="101">
        <v>100</v>
      </c>
      <c r="G1250" s="102">
        <f>F1250</f>
        <v>100</v>
      </c>
    </row>
    <row r="1251" spans="1:7" ht="36.75" customHeight="1">
      <c r="A1251" s="171"/>
      <c r="B1251" s="209" t="s">
        <v>770</v>
      </c>
      <c r="C1251" s="210"/>
      <c r="D1251" s="87"/>
      <c r="E1251" s="171"/>
      <c r="F1251" s="101"/>
      <c r="G1251" s="102"/>
    </row>
    <row r="1252" spans="1:7" ht="15.75">
      <c r="A1252" s="171">
        <v>1</v>
      </c>
      <c r="B1252" s="155" t="s">
        <v>34</v>
      </c>
      <c r="C1252" s="76"/>
      <c r="D1252" s="60"/>
      <c r="E1252" s="171"/>
      <c r="F1252" s="101"/>
      <c r="G1252" s="102"/>
    </row>
    <row r="1253" spans="1:7" ht="25.5">
      <c r="A1253" s="171"/>
      <c r="B1253" s="85" t="s">
        <v>758</v>
      </c>
      <c r="C1253" s="74" t="s">
        <v>127</v>
      </c>
      <c r="D1253" s="87" t="s">
        <v>286</v>
      </c>
      <c r="E1253" s="171"/>
      <c r="F1253" s="109">
        <v>250000</v>
      </c>
      <c r="G1253" s="102">
        <f>F1253</f>
        <v>250000</v>
      </c>
    </row>
    <row r="1254" spans="1:7" ht="15.75">
      <c r="A1254" s="171">
        <v>2</v>
      </c>
      <c r="B1254" s="155" t="s">
        <v>35</v>
      </c>
      <c r="C1254" s="74"/>
      <c r="D1254" s="87"/>
      <c r="E1254" s="171"/>
      <c r="F1254" s="101"/>
      <c r="G1254" s="102"/>
    </row>
    <row r="1255" spans="1:7" ht="38.25">
      <c r="A1255" s="171"/>
      <c r="B1255" s="85" t="s">
        <v>746</v>
      </c>
      <c r="C1255" s="74" t="s">
        <v>129</v>
      </c>
      <c r="D1255" s="74" t="s">
        <v>148</v>
      </c>
      <c r="E1255" s="171"/>
      <c r="F1255" s="101">
        <v>1</v>
      </c>
      <c r="G1255" s="102">
        <f>F1255</f>
        <v>1</v>
      </c>
    </row>
    <row r="1256" spans="1:7" ht="25.5">
      <c r="A1256" s="171"/>
      <c r="B1256" s="85" t="s">
        <v>747</v>
      </c>
      <c r="C1256" s="74" t="s">
        <v>175</v>
      </c>
      <c r="D1256" s="74" t="s">
        <v>148</v>
      </c>
      <c r="E1256" s="171"/>
      <c r="F1256" s="101">
        <v>95.2</v>
      </c>
      <c r="G1256" s="128">
        <f>F1256</f>
        <v>95.2</v>
      </c>
    </row>
    <row r="1257" spans="1:7" ht="15.75">
      <c r="A1257" s="171">
        <v>3</v>
      </c>
      <c r="B1257" s="155" t="s">
        <v>36</v>
      </c>
      <c r="C1257" s="74"/>
      <c r="D1257" s="87"/>
      <c r="E1257" s="171"/>
      <c r="F1257" s="101"/>
      <c r="G1257" s="102"/>
    </row>
    <row r="1258" spans="1:7" ht="38.25">
      <c r="A1258" s="171"/>
      <c r="B1258" s="85" t="s">
        <v>748</v>
      </c>
      <c r="C1258" s="74" t="s">
        <v>127</v>
      </c>
      <c r="D1258" s="74" t="s">
        <v>156</v>
      </c>
      <c r="E1258" s="171"/>
      <c r="F1258" s="109">
        <v>12000</v>
      </c>
      <c r="G1258" s="102">
        <f>F1258</f>
        <v>12000</v>
      </c>
    </row>
    <row r="1259" spans="1:7" ht="25.5">
      <c r="A1259" s="171"/>
      <c r="B1259" s="85" t="s">
        <v>749</v>
      </c>
      <c r="C1259" s="74" t="s">
        <v>127</v>
      </c>
      <c r="D1259" s="74" t="s">
        <v>156</v>
      </c>
      <c r="E1259" s="171"/>
      <c r="F1259" s="109">
        <v>2500</v>
      </c>
      <c r="G1259" s="102">
        <f>F1259</f>
        <v>2500</v>
      </c>
    </row>
    <row r="1260" spans="1:7" ht="15.75">
      <c r="A1260" s="171">
        <v>4</v>
      </c>
      <c r="B1260" s="155" t="s">
        <v>37</v>
      </c>
      <c r="C1260" s="76"/>
      <c r="D1260" s="60"/>
      <c r="E1260" s="171"/>
      <c r="F1260" s="101"/>
      <c r="G1260" s="102"/>
    </row>
    <row r="1261" spans="1:7" ht="41.25" customHeight="1">
      <c r="A1261" s="171"/>
      <c r="B1261" s="85" t="s">
        <v>759</v>
      </c>
      <c r="C1261" s="74" t="s">
        <v>160</v>
      </c>
      <c r="D1261" s="87" t="s">
        <v>156</v>
      </c>
      <c r="E1261" s="171"/>
      <c r="F1261" s="101">
        <v>100</v>
      </c>
      <c r="G1261" s="102">
        <f>F1261</f>
        <v>100</v>
      </c>
    </row>
    <row r="1262" spans="1:7" ht="36.75" customHeight="1">
      <c r="A1262" s="171"/>
      <c r="B1262" s="209" t="s">
        <v>1053</v>
      </c>
      <c r="C1262" s="210"/>
      <c r="D1262" s="87"/>
      <c r="E1262" s="171"/>
      <c r="F1262" s="101"/>
      <c r="G1262" s="102"/>
    </row>
    <row r="1263" spans="1:7" ht="15.75">
      <c r="A1263" s="171">
        <v>1</v>
      </c>
      <c r="B1263" s="155" t="s">
        <v>34</v>
      </c>
      <c r="C1263" s="76"/>
      <c r="D1263" s="60"/>
      <c r="E1263" s="171"/>
      <c r="F1263" s="101"/>
      <c r="G1263" s="102"/>
    </row>
    <row r="1264" spans="1:7" ht="38.25">
      <c r="A1264" s="171"/>
      <c r="B1264" s="85" t="s">
        <v>760</v>
      </c>
      <c r="C1264" s="74" t="s">
        <v>127</v>
      </c>
      <c r="D1264" s="87" t="s">
        <v>286</v>
      </c>
      <c r="E1264" s="171"/>
      <c r="F1264" s="109">
        <v>500000</v>
      </c>
      <c r="G1264" s="102">
        <f>F1264</f>
        <v>500000</v>
      </c>
    </row>
    <row r="1265" spans="1:9" ht="15.75">
      <c r="A1265" s="171">
        <v>2</v>
      </c>
      <c r="B1265" s="155" t="s">
        <v>35</v>
      </c>
      <c r="C1265" s="74"/>
      <c r="D1265" s="87"/>
      <c r="E1265" s="171"/>
      <c r="F1265" s="101"/>
      <c r="G1265" s="102"/>
    </row>
    <row r="1266" spans="1:9" ht="38.25">
      <c r="A1266" s="171"/>
      <c r="B1266" s="85" t="s">
        <v>750</v>
      </c>
      <c r="C1266" s="74" t="s">
        <v>129</v>
      </c>
      <c r="D1266" s="74" t="s">
        <v>148</v>
      </c>
      <c r="E1266" s="171"/>
      <c r="F1266" s="101">
        <v>1</v>
      </c>
      <c r="G1266" s="102">
        <f>F1266</f>
        <v>1</v>
      </c>
    </row>
    <row r="1267" spans="1:9" ht="38.25">
      <c r="A1267" s="171"/>
      <c r="B1267" s="85" t="s">
        <v>751</v>
      </c>
      <c r="C1267" s="74" t="s">
        <v>175</v>
      </c>
      <c r="D1267" s="74" t="s">
        <v>148</v>
      </c>
      <c r="E1267" s="171"/>
      <c r="F1267" s="101">
        <v>188</v>
      </c>
      <c r="G1267" s="102">
        <f>F1267</f>
        <v>188</v>
      </c>
    </row>
    <row r="1268" spans="1:9" ht="15.75">
      <c r="A1268" s="171">
        <v>3</v>
      </c>
      <c r="B1268" s="155" t="s">
        <v>36</v>
      </c>
      <c r="C1268" s="74"/>
      <c r="D1268" s="87"/>
      <c r="E1268" s="171"/>
      <c r="F1268" s="101"/>
      <c r="G1268" s="102"/>
    </row>
    <row r="1269" spans="1:9" ht="38.25">
      <c r="A1269" s="171"/>
      <c r="B1269" s="85" t="s">
        <v>752</v>
      </c>
      <c r="C1269" s="74" t="s">
        <v>127</v>
      </c>
      <c r="D1269" s="74" t="s">
        <v>156</v>
      </c>
      <c r="E1269" s="171"/>
      <c r="F1269" s="109">
        <v>30000</v>
      </c>
      <c r="G1269" s="102">
        <f>F1269</f>
        <v>30000</v>
      </c>
    </row>
    <row r="1270" spans="1:9" ht="38.25">
      <c r="A1270" s="171"/>
      <c r="B1270" s="85" t="s">
        <v>753</v>
      </c>
      <c r="C1270" s="74" t="s">
        <v>127</v>
      </c>
      <c r="D1270" s="74" t="s">
        <v>156</v>
      </c>
      <c r="E1270" s="171"/>
      <c r="F1270" s="109">
        <v>2500</v>
      </c>
      <c r="G1270" s="102">
        <f>F1270</f>
        <v>2500</v>
      </c>
    </row>
    <row r="1271" spans="1:9" ht="15.75">
      <c r="A1271" s="171">
        <v>4</v>
      </c>
      <c r="B1271" s="155" t="s">
        <v>37</v>
      </c>
      <c r="C1271" s="76"/>
      <c r="D1271" s="60"/>
      <c r="E1271" s="171"/>
      <c r="F1271" s="101"/>
      <c r="G1271" s="102"/>
    </row>
    <row r="1272" spans="1:9" ht="38.25">
      <c r="A1272" s="171"/>
      <c r="B1272" s="85" t="s">
        <v>761</v>
      </c>
      <c r="C1272" s="74" t="s">
        <v>160</v>
      </c>
      <c r="D1272" s="87" t="s">
        <v>156</v>
      </c>
      <c r="E1272" s="171"/>
      <c r="F1272" s="101">
        <v>100</v>
      </c>
      <c r="G1272" s="102">
        <f>F1272</f>
        <v>100</v>
      </c>
    </row>
    <row r="1273" spans="1:9" ht="22.5" customHeight="1">
      <c r="A1273" s="171"/>
      <c r="B1273" s="262" t="s">
        <v>383</v>
      </c>
      <c r="C1273" s="263"/>
      <c r="D1273" s="60"/>
      <c r="E1273" s="171"/>
      <c r="F1273" s="148">
        <f>F1275+F1276+F1277+F1278+F1279+F1280+F1281+F1282+F1283+F1284+F1285+F1286+F1287+F1288+F1289</f>
        <v>1617871</v>
      </c>
      <c r="G1273" s="123">
        <f>F1273</f>
        <v>1617871</v>
      </c>
    </row>
    <row r="1274" spans="1:9" ht="15.75">
      <c r="A1274" s="171">
        <v>1</v>
      </c>
      <c r="B1274" s="155" t="s">
        <v>34</v>
      </c>
      <c r="C1274" s="76"/>
      <c r="D1274" s="60"/>
      <c r="E1274" s="171"/>
      <c r="F1274" s="95"/>
      <c r="G1274" s="62"/>
    </row>
    <row r="1275" spans="1:9" ht="36" customHeight="1">
      <c r="A1275" s="171"/>
      <c r="B1275" s="85" t="s">
        <v>339</v>
      </c>
      <c r="C1275" s="74" t="s">
        <v>132</v>
      </c>
      <c r="D1275" s="74" t="s">
        <v>163</v>
      </c>
      <c r="E1275" s="171"/>
      <c r="F1275" s="95">
        <f>1421</f>
        <v>1421</v>
      </c>
      <c r="G1275" s="62">
        <f>F1275</f>
        <v>1421</v>
      </c>
      <c r="I1275" s="37"/>
    </row>
    <row r="1276" spans="1:9" ht="40.5" customHeight="1">
      <c r="A1276" s="171"/>
      <c r="B1276" s="85" t="s">
        <v>340</v>
      </c>
      <c r="C1276" s="74" t="s">
        <v>132</v>
      </c>
      <c r="D1276" s="74" t="s">
        <v>163</v>
      </c>
      <c r="E1276" s="171"/>
      <c r="F1276" s="95">
        <f>100000</f>
        <v>100000</v>
      </c>
      <c r="G1276" s="62">
        <f t="shared" ref="G1276:G1288" si="10">F1276</f>
        <v>100000</v>
      </c>
    </row>
    <row r="1277" spans="1:9" ht="37.5" customHeight="1">
      <c r="A1277" s="171"/>
      <c r="B1277" s="85" t="s">
        <v>341</v>
      </c>
      <c r="C1277" s="74" t="s">
        <v>132</v>
      </c>
      <c r="D1277" s="74" t="s">
        <v>163</v>
      </c>
      <c r="E1277" s="171"/>
      <c r="F1277" s="95">
        <f>4050</f>
        <v>4050</v>
      </c>
      <c r="G1277" s="62">
        <f t="shared" si="10"/>
        <v>4050</v>
      </c>
    </row>
    <row r="1278" spans="1:9" ht="36.75" customHeight="1">
      <c r="A1278" s="171"/>
      <c r="B1278" s="85" t="s">
        <v>419</v>
      </c>
      <c r="C1278" s="74" t="s">
        <v>127</v>
      </c>
      <c r="D1278" s="74" t="s">
        <v>163</v>
      </c>
      <c r="E1278" s="171"/>
      <c r="F1278" s="95">
        <v>63400</v>
      </c>
      <c r="G1278" s="62">
        <f t="shared" si="10"/>
        <v>63400</v>
      </c>
    </row>
    <row r="1279" spans="1:9" ht="36.75" customHeight="1">
      <c r="A1279" s="171"/>
      <c r="B1279" s="85" t="s">
        <v>420</v>
      </c>
      <c r="C1279" s="74" t="s">
        <v>132</v>
      </c>
      <c r="D1279" s="74" t="s">
        <v>163</v>
      </c>
      <c r="E1279" s="171"/>
      <c r="F1279" s="95">
        <f>100000+120000</f>
        <v>220000</v>
      </c>
      <c r="G1279" s="62">
        <f t="shared" si="10"/>
        <v>220000</v>
      </c>
    </row>
    <row r="1280" spans="1:9" ht="36.75" customHeight="1">
      <c r="A1280" s="171"/>
      <c r="B1280" s="85" t="s">
        <v>421</v>
      </c>
      <c r="C1280" s="74" t="s">
        <v>132</v>
      </c>
      <c r="D1280" s="74" t="s">
        <v>163</v>
      </c>
      <c r="E1280" s="171"/>
      <c r="F1280" s="95">
        <v>100000</v>
      </c>
      <c r="G1280" s="62">
        <f t="shared" si="10"/>
        <v>100000</v>
      </c>
    </row>
    <row r="1281" spans="1:9" ht="39.75" customHeight="1">
      <c r="A1281" s="171"/>
      <c r="B1281" s="85" t="s">
        <v>773</v>
      </c>
      <c r="C1281" s="74" t="s">
        <v>132</v>
      </c>
      <c r="D1281" s="74" t="s">
        <v>163</v>
      </c>
      <c r="E1281" s="171"/>
      <c r="F1281" s="95">
        <v>299000</v>
      </c>
      <c r="G1281" s="62">
        <f t="shared" si="10"/>
        <v>299000</v>
      </c>
    </row>
    <row r="1282" spans="1:9" ht="45.75" customHeight="1">
      <c r="A1282" s="171"/>
      <c r="B1282" s="85" t="s">
        <v>774</v>
      </c>
      <c r="C1282" s="74" t="s">
        <v>132</v>
      </c>
      <c r="D1282" s="74" t="s">
        <v>163</v>
      </c>
      <c r="E1282" s="171"/>
      <c r="F1282" s="95">
        <v>100000</v>
      </c>
      <c r="G1282" s="62">
        <f t="shared" si="10"/>
        <v>100000</v>
      </c>
    </row>
    <row r="1283" spans="1:9" ht="43.5" customHeight="1">
      <c r="A1283" s="171"/>
      <c r="B1283" s="85" t="s">
        <v>775</v>
      </c>
      <c r="C1283" s="74" t="s">
        <v>132</v>
      </c>
      <c r="D1283" s="74" t="s">
        <v>163</v>
      </c>
      <c r="E1283" s="171"/>
      <c r="F1283" s="95">
        <v>100000</v>
      </c>
      <c r="G1283" s="62">
        <f t="shared" si="10"/>
        <v>100000</v>
      </c>
    </row>
    <row r="1284" spans="1:9" ht="44.25" customHeight="1">
      <c r="A1284" s="171"/>
      <c r="B1284" s="85" t="s">
        <v>776</v>
      </c>
      <c r="C1284" s="74" t="s">
        <v>132</v>
      </c>
      <c r="D1284" s="74" t="s">
        <v>163</v>
      </c>
      <c r="E1284" s="171"/>
      <c r="F1284" s="95">
        <v>100000</v>
      </c>
      <c r="G1284" s="62">
        <f t="shared" si="10"/>
        <v>100000</v>
      </c>
    </row>
    <row r="1285" spans="1:9" ht="42" customHeight="1">
      <c r="A1285" s="171"/>
      <c r="B1285" s="85" t="s">
        <v>777</v>
      </c>
      <c r="C1285" s="74" t="s">
        <v>132</v>
      </c>
      <c r="D1285" s="74" t="s">
        <v>163</v>
      </c>
      <c r="E1285" s="171"/>
      <c r="F1285" s="95">
        <v>100000</v>
      </c>
      <c r="G1285" s="62">
        <f t="shared" si="10"/>
        <v>100000</v>
      </c>
    </row>
    <row r="1286" spans="1:9" ht="41.25" customHeight="1">
      <c r="A1286" s="171"/>
      <c r="B1286" s="85" t="s">
        <v>778</v>
      </c>
      <c r="C1286" s="74" t="s">
        <v>132</v>
      </c>
      <c r="D1286" s="74" t="s">
        <v>163</v>
      </c>
      <c r="E1286" s="171"/>
      <c r="F1286" s="95">
        <v>100000</v>
      </c>
      <c r="G1286" s="62">
        <f t="shared" si="10"/>
        <v>100000</v>
      </c>
    </row>
    <row r="1287" spans="1:9" ht="42.75" customHeight="1">
      <c r="A1287" s="171"/>
      <c r="B1287" s="85" t="s">
        <v>779</v>
      </c>
      <c r="C1287" s="74" t="s">
        <v>132</v>
      </c>
      <c r="D1287" s="74" t="s">
        <v>163</v>
      </c>
      <c r="E1287" s="171"/>
      <c r="F1287" s="95">
        <v>100000</v>
      </c>
      <c r="G1287" s="62">
        <f t="shared" si="10"/>
        <v>100000</v>
      </c>
    </row>
    <row r="1288" spans="1:9" ht="45" customHeight="1">
      <c r="A1288" s="171"/>
      <c r="B1288" s="85" t="s">
        <v>780</v>
      </c>
      <c r="C1288" s="74" t="s">
        <v>132</v>
      </c>
      <c r="D1288" s="74" t="s">
        <v>163</v>
      </c>
      <c r="E1288" s="171"/>
      <c r="F1288" s="95">
        <v>100000</v>
      </c>
      <c r="G1288" s="62">
        <f t="shared" si="10"/>
        <v>100000</v>
      </c>
    </row>
    <row r="1289" spans="1:9" ht="45" customHeight="1">
      <c r="A1289" s="171"/>
      <c r="B1289" s="85" t="s">
        <v>1054</v>
      </c>
      <c r="C1289" s="74" t="s">
        <v>132</v>
      </c>
      <c r="D1289" s="74" t="s">
        <v>163</v>
      </c>
      <c r="E1289" s="171"/>
      <c r="F1289" s="95">
        <f>130000</f>
        <v>130000</v>
      </c>
      <c r="G1289" s="62">
        <f>F1289</f>
        <v>130000</v>
      </c>
    </row>
    <row r="1290" spans="1:9" ht="15.75">
      <c r="A1290" s="171">
        <v>2</v>
      </c>
      <c r="B1290" s="155" t="s">
        <v>35</v>
      </c>
      <c r="C1290" s="76"/>
      <c r="D1290" s="60"/>
      <c r="E1290" s="171"/>
      <c r="F1290" s="60"/>
      <c r="G1290" s="62"/>
    </row>
    <row r="1291" spans="1:9" ht="44.25" customHeight="1">
      <c r="A1291" s="171"/>
      <c r="B1291" s="85" t="s">
        <v>781</v>
      </c>
      <c r="C1291" s="74" t="s">
        <v>141</v>
      </c>
      <c r="D1291" s="87" t="s">
        <v>148</v>
      </c>
      <c r="E1291" s="171"/>
      <c r="F1291" s="101">
        <v>2</v>
      </c>
      <c r="G1291" s="62">
        <f>F1291</f>
        <v>2</v>
      </c>
      <c r="I1291" s="37"/>
    </row>
    <row r="1292" spans="1:9" ht="33.75" customHeight="1">
      <c r="A1292" s="171"/>
      <c r="B1292" s="85" t="s">
        <v>782</v>
      </c>
      <c r="C1292" s="74" t="s">
        <v>141</v>
      </c>
      <c r="D1292" s="87" t="s">
        <v>148</v>
      </c>
      <c r="E1292" s="171"/>
      <c r="F1292" s="101">
        <v>3</v>
      </c>
      <c r="G1292" s="62">
        <f>F1292</f>
        <v>3</v>
      </c>
      <c r="I1292" s="37"/>
    </row>
    <row r="1293" spans="1:9" ht="35.25" customHeight="1">
      <c r="A1293" s="171"/>
      <c r="B1293" s="85" t="s">
        <v>342</v>
      </c>
      <c r="C1293" s="74" t="s">
        <v>141</v>
      </c>
      <c r="D1293" s="74" t="s">
        <v>148</v>
      </c>
      <c r="E1293" s="171"/>
      <c r="F1293" s="101">
        <v>10</v>
      </c>
      <c r="G1293" s="62">
        <f>F1293</f>
        <v>10</v>
      </c>
      <c r="I1293" s="37"/>
    </row>
    <row r="1294" spans="1:9" ht="24" customHeight="1">
      <c r="A1294" s="171">
        <v>3</v>
      </c>
      <c r="B1294" s="155" t="s">
        <v>36</v>
      </c>
      <c r="C1294" s="76"/>
      <c r="D1294" s="60"/>
      <c r="E1294" s="171"/>
      <c r="F1294" s="60"/>
      <c r="G1294" s="62"/>
      <c r="I1294" s="37"/>
    </row>
    <row r="1295" spans="1:9" ht="32.25" customHeight="1">
      <c r="A1295" s="171"/>
      <c r="B1295" s="85" t="s">
        <v>783</v>
      </c>
      <c r="C1295" s="74" t="s">
        <v>132</v>
      </c>
      <c r="D1295" s="87" t="s">
        <v>144</v>
      </c>
      <c r="E1295" s="171"/>
      <c r="F1295" s="90">
        <f>I1295</f>
        <v>2735.5</v>
      </c>
      <c r="G1295" s="59">
        <f>F1295</f>
        <v>2735.5</v>
      </c>
      <c r="H1295" s="37"/>
      <c r="I1295" s="37">
        <f>(G1275+G1277)/G1291</f>
        <v>2735.5</v>
      </c>
    </row>
    <row r="1296" spans="1:9" ht="30" customHeight="1">
      <c r="A1296" s="171"/>
      <c r="B1296" s="85" t="s">
        <v>344</v>
      </c>
      <c r="C1296" s="74" t="s">
        <v>132</v>
      </c>
      <c r="D1296" s="87" t="s">
        <v>144</v>
      </c>
      <c r="E1296" s="171"/>
      <c r="F1296" s="90">
        <f>I1296</f>
        <v>154133.33333333334</v>
      </c>
      <c r="G1296" s="59">
        <f>F1296</f>
        <v>154133.33333333334</v>
      </c>
      <c r="H1296" s="37"/>
      <c r="I1296" s="37">
        <f>(F1278+F1280+F1281)/G1292</f>
        <v>154133.33333333334</v>
      </c>
    </row>
    <row r="1297" spans="1:9" ht="36.75" customHeight="1">
      <c r="A1297" s="171"/>
      <c r="B1297" s="85" t="s">
        <v>343</v>
      </c>
      <c r="C1297" s="74" t="s">
        <v>132</v>
      </c>
      <c r="D1297" s="74" t="s">
        <v>144</v>
      </c>
      <c r="E1297" s="171"/>
      <c r="F1297" s="95">
        <f>I1297</f>
        <v>115000</v>
      </c>
      <c r="G1297" s="62">
        <f>F1297</f>
        <v>115000</v>
      </c>
      <c r="I1297" s="35">
        <f>(F1276+F1279+F1282+F1283+F1284+F1285+F1286+F1287+F1288+F1289)/G1293</f>
        <v>115000</v>
      </c>
    </row>
    <row r="1298" spans="1:9" ht="15.75">
      <c r="A1298" s="171">
        <v>4</v>
      </c>
      <c r="B1298" s="155" t="s">
        <v>37</v>
      </c>
      <c r="C1298" s="76"/>
      <c r="D1298" s="60"/>
      <c r="E1298" s="171"/>
      <c r="F1298" s="60"/>
      <c r="G1298" s="62"/>
      <c r="I1298" s="37"/>
    </row>
    <row r="1299" spans="1:9" ht="25.5">
      <c r="A1299" s="171"/>
      <c r="B1299" s="108" t="s">
        <v>345</v>
      </c>
      <c r="C1299" s="74" t="s">
        <v>160</v>
      </c>
      <c r="D1299" s="74" t="s">
        <v>156</v>
      </c>
      <c r="E1299" s="171"/>
      <c r="F1299" s="60">
        <v>100</v>
      </c>
      <c r="G1299" s="62">
        <f>F1299</f>
        <v>100</v>
      </c>
      <c r="I1299" s="37"/>
    </row>
    <row r="1300" spans="1:9" ht="28.5" customHeight="1">
      <c r="A1300" s="171"/>
      <c r="B1300" s="108" t="s">
        <v>346</v>
      </c>
      <c r="C1300" s="74" t="s">
        <v>160</v>
      </c>
      <c r="D1300" s="74" t="s">
        <v>156</v>
      </c>
      <c r="E1300" s="171"/>
      <c r="F1300" s="60">
        <v>100</v>
      </c>
      <c r="G1300" s="62">
        <f>F1300</f>
        <v>100</v>
      </c>
      <c r="I1300" s="37"/>
    </row>
    <row r="1301" spans="1:9" ht="31.5" customHeight="1">
      <c r="A1301" s="171"/>
      <c r="B1301" s="139" t="s">
        <v>384</v>
      </c>
      <c r="C1301" s="87"/>
      <c r="D1301" s="87"/>
      <c r="E1301" s="171"/>
      <c r="F1301" s="90">
        <f>F1303+F1304+F1305+F1306+F1307</f>
        <v>555500</v>
      </c>
      <c r="G1301" s="62">
        <f>F1301</f>
        <v>555500</v>
      </c>
    </row>
    <row r="1302" spans="1:9" ht="15.75">
      <c r="A1302" s="171">
        <v>1</v>
      </c>
      <c r="B1302" s="155" t="s">
        <v>34</v>
      </c>
      <c r="C1302" s="87"/>
      <c r="D1302" s="87"/>
      <c r="E1302" s="171"/>
      <c r="F1302" s="60"/>
      <c r="G1302" s="62"/>
    </row>
    <row r="1303" spans="1:9" ht="25.5">
      <c r="A1303" s="171"/>
      <c r="B1303" s="126" t="s">
        <v>784</v>
      </c>
      <c r="C1303" s="74" t="s">
        <v>127</v>
      </c>
      <c r="D1303" s="74" t="s">
        <v>286</v>
      </c>
      <c r="E1303" s="171"/>
      <c r="F1303" s="90">
        <v>150000</v>
      </c>
      <c r="G1303" s="62">
        <f>F1303</f>
        <v>150000</v>
      </c>
    </row>
    <row r="1304" spans="1:9" ht="25.5">
      <c r="A1304" s="171"/>
      <c r="B1304" s="126" t="s">
        <v>347</v>
      </c>
      <c r="C1304" s="74" t="s">
        <v>127</v>
      </c>
      <c r="D1304" s="74" t="s">
        <v>286</v>
      </c>
      <c r="E1304" s="171"/>
      <c r="F1304" s="90">
        <v>5500</v>
      </c>
      <c r="G1304" s="62">
        <f>F1304</f>
        <v>5500</v>
      </c>
    </row>
    <row r="1305" spans="1:9" ht="25.5">
      <c r="A1305" s="171"/>
      <c r="B1305" s="126" t="s">
        <v>348</v>
      </c>
      <c r="C1305" s="74" t="s">
        <v>127</v>
      </c>
      <c r="D1305" s="74" t="s">
        <v>286</v>
      </c>
      <c r="E1305" s="171"/>
      <c r="F1305" s="90">
        <v>100000</v>
      </c>
      <c r="G1305" s="62">
        <f>F1305</f>
        <v>100000</v>
      </c>
    </row>
    <row r="1306" spans="1:9" ht="25.5">
      <c r="A1306" s="171"/>
      <c r="B1306" s="126" t="s">
        <v>785</v>
      </c>
      <c r="C1306" s="74" t="s">
        <v>127</v>
      </c>
      <c r="D1306" s="74" t="s">
        <v>286</v>
      </c>
      <c r="E1306" s="171"/>
      <c r="F1306" s="90">
        <v>150000</v>
      </c>
      <c r="G1306" s="62">
        <f>F1306</f>
        <v>150000</v>
      </c>
    </row>
    <row r="1307" spans="1:9" ht="25.5">
      <c r="A1307" s="171"/>
      <c r="B1307" s="126" t="s">
        <v>786</v>
      </c>
      <c r="C1307" s="74" t="s">
        <v>127</v>
      </c>
      <c r="D1307" s="74" t="s">
        <v>286</v>
      </c>
      <c r="E1307" s="171"/>
      <c r="F1307" s="90">
        <v>150000</v>
      </c>
      <c r="G1307" s="59">
        <f>F1307</f>
        <v>150000</v>
      </c>
    </row>
    <row r="1308" spans="1:9" ht="15.75">
      <c r="A1308" s="171">
        <v>2</v>
      </c>
      <c r="B1308" s="155" t="s">
        <v>35</v>
      </c>
      <c r="C1308" s="87"/>
      <c r="D1308" s="87"/>
      <c r="E1308" s="171"/>
      <c r="F1308" s="60"/>
      <c r="G1308" s="62"/>
    </row>
    <row r="1309" spans="1:9" ht="42.75" customHeight="1">
      <c r="A1309" s="171"/>
      <c r="B1309" s="85" t="s">
        <v>788</v>
      </c>
      <c r="C1309" s="74" t="s">
        <v>141</v>
      </c>
      <c r="D1309" s="74" t="s">
        <v>148</v>
      </c>
      <c r="E1309" s="171"/>
      <c r="F1309" s="60">
        <v>1</v>
      </c>
      <c r="G1309" s="62">
        <f>F1309</f>
        <v>1</v>
      </c>
    </row>
    <row r="1310" spans="1:9" ht="45" customHeight="1">
      <c r="A1310" s="171"/>
      <c r="B1310" s="85" t="s">
        <v>787</v>
      </c>
      <c r="C1310" s="74" t="s">
        <v>141</v>
      </c>
      <c r="D1310" s="74" t="s">
        <v>148</v>
      </c>
      <c r="E1310" s="171"/>
      <c r="F1310" s="60">
        <v>1</v>
      </c>
      <c r="G1310" s="62">
        <f>F1310</f>
        <v>1</v>
      </c>
    </row>
    <row r="1311" spans="1:9" ht="32.25" customHeight="1">
      <c r="A1311" s="171"/>
      <c r="B1311" s="85" t="s">
        <v>349</v>
      </c>
      <c r="C1311" s="74" t="s">
        <v>141</v>
      </c>
      <c r="D1311" s="74" t="s">
        <v>148</v>
      </c>
      <c r="E1311" s="171"/>
      <c r="F1311" s="60">
        <v>1</v>
      </c>
      <c r="G1311" s="62">
        <f>F1311</f>
        <v>1</v>
      </c>
    </row>
    <row r="1312" spans="1:9" ht="32.25" customHeight="1">
      <c r="A1312" s="171"/>
      <c r="B1312" s="85" t="s">
        <v>789</v>
      </c>
      <c r="C1312" s="74" t="s">
        <v>141</v>
      </c>
      <c r="D1312" s="74" t="s">
        <v>148</v>
      </c>
      <c r="E1312" s="171"/>
      <c r="F1312" s="60">
        <v>1</v>
      </c>
      <c r="G1312" s="62">
        <f>F1312</f>
        <v>1</v>
      </c>
    </row>
    <row r="1313" spans="1:7" ht="35.25" customHeight="1">
      <c r="A1313" s="171"/>
      <c r="B1313" s="85" t="s">
        <v>790</v>
      </c>
      <c r="C1313" s="74" t="s">
        <v>141</v>
      </c>
      <c r="D1313" s="74" t="s">
        <v>148</v>
      </c>
      <c r="E1313" s="171"/>
      <c r="F1313" s="60">
        <v>1</v>
      </c>
      <c r="G1313" s="62">
        <f>F1313</f>
        <v>1</v>
      </c>
    </row>
    <row r="1314" spans="1:7" ht="15.75">
      <c r="A1314" s="171">
        <v>3</v>
      </c>
      <c r="B1314" s="155" t="s">
        <v>36</v>
      </c>
      <c r="C1314" s="87"/>
      <c r="D1314" s="87"/>
      <c r="E1314" s="171"/>
      <c r="F1314" s="60"/>
      <c r="G1314" s="62"/>
    </row>
    <row r="1315" spans="1:7" ht="33.75" customHeight="1">
      <c r="A1315" s="171"/>
      <c r="B1315" s="85" t="s">
        <v>791</v>
      </c>
      <c r="C1315" s="74" t="s">
        <v>132</v>
      </c>
      <c r="D1315" s="74" t="s">
        <v>144</v>
      </c>
      <c r="E1315" s="171"/>
      <c r="F1315" s="60">
        <f>150000</f>
        <v>150000</v>
      </c>
      <c r="G1315" s="62">
        <f>F1315</f>
        <v>150000</v>
      </c>
    </row>
    <row r="1316" spans="1:7" ht="36" customHeight="1">
      <c r="A1316" s="171"/>
      <c r="B1316" s="85" t="s">
        <v>350</v>
      </c>
      <c r="C1316" s="74" t="s">
        <v>132</v>
      </c>
      <c r="D1316" s="74" t="s">
        <v>144</v>
      </c>
      <c r="E1316" s="171"/>
      <c r="F1316" s="60">
        <v>5500</v>
      </c>
      <c r="G1316" s="62">
        <f>F1316</f>
        <v>5500</v>
      </c>
    </row>
    <row r="1317" spans="1:7" ht="30" customHeight="1">
      <c r="A1317" s="171"/>
      <c r="B1317" s="85" t="s">
        <v>351</v>
      </c>
      <c r="C1317" s="74" t="s">
        <v>132</v>
      </c>
      <c r="D1317" s="74" t="s">
        <v>144</v>
      </c>
      <c r="E1317" s="171"/>
      <c r="F1317" s="90">
        <f>100000</f>
        <v>100000</v>
      </c>
      <c r="G1317" s="62">
        <f>F1317</f>
        <v>100000</v>
      </c>
    </row>
    <row r="1318" spans="1:7" ht="30" customHeight="1">
      <c r="A1318" s="171"/>
      <c r="B1318" s="85" t="s">
        <v>792</v>
      </c>
      <c r="C1318" s="74" t="s">
        <v>132</v>
      </c>
      <c r="D1318" s="74" t="s">
        <v>144</v>
      </c>
      <c r="E1318" s="171"/>
      <c r="F1318" s="90">
        <f>150000</f>
        <v>150000</v>
      </c>
      <c r="G1318" s="62">
        <f>F1318</f>
        <v>150000</v>
      </c>
    </row>
    <row r="1319" spans="1:7" ht="31.5" customHeight="1">
      <c r="A1319" s="171"/>
      <c r="B1319" s="85" t="s">
        <v>793</v>
      </c>
      <c r="C1319" s="74" t="s">
        <v>132</v>
      </c>
      <c r="D1319" s="74" t="s">
        <v>144</v>
      </c>
      <c r="E1319" s="171"/>
      <c r="F1319" s="90">
        <f>150000</f>
        <v>150000</v>
      </c>
      <c r="G1319" s="59">
        <f>F1319</f>
        <v>150000</v>
      </c>
    </row>
    <row r="1320" spans="1:7" ht="15.75">
      <c r="A1320" s="171">
        <v>4</v>
      </c>
      <c r="B1320" s="155" t="s">
        <v>37</v>
      </c>
      <c r="C1320" s="76"/>
      <c r="D1320" s="60"/>
      <c r="E1320" s="171"/>
      <c r="F1320" s="60"/>
      <c r="G1320" s="62"/>
    </row>
    <row r="1321" spans="1:7" ht="15.75">
      <c r="A1321" s="171"/>
      <c r="B1321" s="89" t="s">
        <v>266</v>
      </c>
      <c r="C1321" s="87" t="s">
        <v>160</v>
      </c>
      <c r="D1321" s="87" t="s">
        <v>156</v>
      </c>
      <c r="E1321" s="171"/>
      <c r="F1321" s="60">
        <v>100</v>
      </c>
      <c r="G1321" s="62">
        <f>F1321</f>
        <v>100</v>
      </c>
    </row>
    <row r="1322" spans="1:7" ht="24.75" customHeight="1">
      <c r="A1322" s="171"/>
      <c r="B1322" s="209" t="s">
        <v>385</v>
      </c>
      <c r="C1322" s="210"/>
      <c r="D1322" s="87"/>
      <c r="E1322" s="171"/>
      <c r="F1322" s="175">
        <f>F1325+F1336+F1347+F1356+F1365+F1376+F1385+F1394+F1403+F1414</f>
        <v>2849758</v>
      </c>
      <c r="G1322" s="123">
        <f>F1322</f>
        <v>2849758</v>
      </c>
    </row>
    <row r="1323" spans="1:7" ht="36.75" customHeight="1">
      <c r="A1323" s="171"/>
      <c r="B1323" s="264" t="s">
        <v>803</v>
      </c>
      <c r="C1323" s="265"/>
      <c r="D1323" s="87"/>
      <c r="E1323" s="171"/>
      <c r="F1323" s="60"/>
      <c r="G1323" s="62"/>
    </row>
    <row r="1324" spans="1:7" ht="15.75" customHeight="1">
      <c r="A1324" s="171">
        <v>1</v>
      </c>
      <c r="B1324" s="155" t="s">
        <v>34</v>
      </c>
      <c r="C1324" s="76"/>
      <c r="D1324" s="60"/>
      <c r="E1324" s="171"/>
      <c r="F1324" s="60"/>
      <c r="G1324" s="62"/>
    </row>
    <row r="1325" spans="1:7" ht="57.75" customHeight="1">
      <c r="A1325" s="171"/>
      <c r="B1325" s="85" t="s">
        <v>804</v>
      </c>
      <c r="C1325" s="74" t="s">
        <v>127</v>
      </c>
      <c r="D1325" s="87" t="s">
        <v>286</v>
      </c>
      <c r="E1325" s="171"/>
      <c r="F1325" s="90">
        <v>300000</v>
      </c>
      <c r="G1325" s="62">
        <f>F1325</f>
        <v>300000</v>
      </c>
    </row>
    <row r="1326" spans="1:7" ht="15.75" customHeight="1">
      <c r="A1326" s="171">
        <v>2</v>
      </c>
      <c r="B1326" s="155" t="s">
        <v>35</v>
      </c>
      <c r="C1326" s="76"/>
      <c r="D1326" s="60"/>
      <c r="E1326" s="171"/>
      <c r="F1326" s="90"/>
      <c r="G1326" s="62"/>
    </row>
    <row r="1327" spans="1:7" ht="63" customHeight="1">
      <c r="A1327" s="171"/>
      <c r="B1327" s="85" t="s">
        <v>794</v>
      </c>
      <c r="C1327" s="74" t="s">
        <v>141</v>
      </c>
      <c r="D1327" s="87" t="s">
        <v>148</v>
      </c>
      <c r="E1327" s="171"/>
      <c r="F1327" s="90">
        <v>1</v>
      </c>
      <c r="G1327" s="62">
        <f>F1327</f>
        <v>1</v>
      </c>
    </row>
    <row r="1328" spans="1:7" ht="57.75" customHeight="1">
      <c r="A1328" s="171"/>
      <c r="B1328" s="85" t="s">
        <v>795</v>
      </c>
      <c r="C1328" s="74" t="s">
        <v>175</v>
      </c>
      <c r="D1328" s="74" t="s">
        <v>148</v>
      </c>
      <c r="E1328" s="171"/>
      <c r="F1328" s="90">
        <v>280</v>
      </c>
      <c r="G1328" s="62">
        <f>F1328</f>
        <v>280</v>
      </c>
    </row>
    <row r="1329" spans="1:7" ht="15.75" customHeight="1">
      <c r="A1329" s="171">
        <v>3</v>
      </c>
      <c r="B1329" s="155" t="s">
        <v>36</v>
      </c>
      <c r="C1329" s="76"/>
      <c r="D1329" s="60"/>
      <c r="E1329" s="171"/>
      <c r="F1329" s="90"/>
      <c r="G1329" s="62"/>
    </row>
    <row r="1330" spans="1:7" ht="63.75" customHeight="1">
      <c r="A1330" s="171"/>
      <c r="B1330" s="85" t="s">
        <v>796</v>
      </c>
      <c r="C1330" s="74" t="s">
        <v>132</v>
      </c>
      <c r="D1330" s="87" t="s">
        <v>144</v>
      </c>
      <c r="E1330" s="171"/>
      <c r="F1330" s="90">
        <v>20000</v>
      </c>
      <c r="G1330" s="62">
        <f>F1330</f>
        <v>20000</v>
      </c>
    </row>
    <row r="1331" spans="1:7" ht="52.5" customHeight="1">
      <c r="A1331" s="171"/>
      <c r="B1331" s="85" t="s">
        <v>797</v>
      </c>
      <c r="C1331" s="74" t="s">
        <v>132</v>
      </c>
      <c r="D1331" s="74" t="s">
        <v>144</v>
      </c>
      <c r="E1331" s="171"/>
      <c r="F1331" s="90">
        <v>1000</v>
      </c>
      <c r="G1331" s="62">
        <f>F1331</f>
        <v>1000</v>
      </c>
    </row>
    <row r="1332" spans="1:7" ht="15.75" customHeight="1">
      <c r="A1332" s="171">
        <v>4</v>
      </c>
      <c r="B1332" s="155" t="s">
        <v>37</v>
      </c>
      <c r="C1332" s="76"/>
      <c r="D1332" s="60"/>
      <c r="E1332" s="171"/>
      <c r="F1332" s="90"/>
      <c r="G1332" s="62"/>
    </row>
    <row r="1333" spans="1:7" ht="55.5" customHeight="1">
      <c r="A1333" s="171"/>
      <c r="B1333" s="85" t="s">
        <v>805</v>
      </c>
      <c r="C1333" s="74" t="s">
        <v>160</v>
      </c>
      <c r="D1333" s="87" t="s">
        <v>156</v>
      </c>
      <c r="E1333" s="171"/>
      <c r="F1333" s="90">
        <v>100</v>
      </c>
      <c r="G1333" s="62">
        <f>F1333</f>
        <v>100</v>
      </c>
    </row>
    <row r="1334" spans="1:7" ht="34.5" customHeight="1">
      <c r="A1334" s="171"/>
      <c r="B1334" s="264" t="s">
        <v>807</v>
      </c>
      <c r="C1334" s="265"/>
      <c r="D1334" s="60"/>
      <c r="E1334" s="171"/>
      <c r="F1334" s="90"/>
      <c r="G1334" s="62"/>
    </row>
    <row r="1335" spans="1:7" ht="17.25" customHeight="1">
      <c r="A1335" s="171">
        <v>1</v>
      </c>
      <c r="B1335" s="155" t="s">
        <v>34</v>
      </c>
      <c r="C1335" s="76"/>
      <c r="D1335" s="60"/>
      <c r="E1335" s="171"/>
      <c r="F1335" s="90"/>
      <c r="G1335" s="62"/>
    </row>
    <row r="1336" spans="1:7" ht="54" customHeight="1">
      <c r="A1336" s="171"/>
      <c r="B1336" s="85" t="s">
        <v>806</v>
      </c>
      <c r="C1336" s="74" t="s">
        <v>132</v>
      </c>
      <c r="D1336" s="87" t="s">
        <v>286</v>
      </c>
      <c r="E1336" s="171"/>
      <c r="F1336" s="90">
        <v>200000</v>
      </c>
      <c r="G1336" s="62">
        <f>F1336</f>
        <v>200000</v>
      </c>
    </row>
    <row r="1337" spans="1:7" ht="15.75" customHeight="1">
      <c r="A1337" s="171">
        <v>2</v>
      </c>
      <c r="B1337" s="155" t="s">
        <v>35</v>
      </c>
      <c r="C1337" s="76"/>
      <c r="D1337" s="60"/>
      <c r="E1337" s="171"/>
      <c r="F1337" s="90"/>
      <c r="G1337" s="62"/>
    </row>
    <row r="1338" spans="1:7" ht="56.25" customHeight="1">
      <c r="A1338" s="171"/>
      <c r="B1338" s="106" t="s">
        <v>798</v>
      </c>
      <c r="C1338" s="74" t="s">
        <v>141</v>
      </c>
      <c r="D1338" s="87" t="s">
        <v>148</v>
      </c>
      <c r="E1338" s="171"/>
      <c r="F1338" s="90">
        <v>1</v>
      </c>
      <c r="G1338" s="62">
        <f>F1338</f>
        <v>1</v>
      </c>
    </row>
    <row r="1339" spans="1:7" ht="46.5" customHeight="1">
      <c r="A1339" s="171"/>
      <c r="B1339" s="85" t="s">
        <v>799</v>
      </c>
      <c r="C1339" s="74" t="s">
        <v>141</v>
      </c>
      <c r="D1339" s="92" t="s">
        <v>800</v>
      </c>
      <c r="E1339" s="171"/>
      <c r="F1339" s="90">
        <v>190</v>
      </c>
      <c r="G1339" s="62">
        <f>F1339</f>
        <v>190</v>
      </c>
    </row>
    <row r="1340" spans="1:7" ht="15.75" customHeight="1">
      <c r="A1340" s="171">
        <v>3</v>
      </c>
      <c r="B1340" s="155" t="s">
        <v>36</v>
      </c>
      <c r="C1340" s="76"/>
      <c r="D1340" s="60"/>
      <c r="E1340" s="171"/>
      <c r="F1340" s="90"/>
      <c r="G1340" s="62"/>
    </row>
    <row r="1341" spans="1:7" ht="56.25" customHeight="1">
      <c r="A1341" s="171"/>
      <c r="B1341" s="106" t="s">
        <v>801</v>
      </c>
      <c r="C1341" s="74" t="s">
        <v>132</v>
      </c>
      <c r="D1341" s="87" t="s">
        <v>156</v>
      </c>
      <c r="E1341" s="171"/>
      <c r="F1341" s="90">
        <v>10000</v>
      </c>
      <c r="G1341" s="62">
        <f>F1341</f>
        <v>10000</v>
      </c>
    </row>
    <row r="1342" spans="1:7" ht="53.25" customHeight="1">
      <c r="A1342" s="171"/>
      <c r="B1342" s="129" t="s">
        <v>802</v>
      </c>
      <c r="C1342" s="74" t="s">
        <v>132</v>
      </c>
      <c r="D1342" s="87" t="s">
        <v>156</v>
      </c>
      <c r="E1342" s="171"/>
      <c r="F1342" s="90">
        <v>1000</v>
      </c>
      <c r="G1342" s="62">
        <f>F1342</f>
        <v>1000</v>
      </c>
    </row>
    <row r="1343" spans="1:7" ht="15.75" customHeight="1">
      <c r="A1343" s="171">
        <v>4</v>
      </c>
      <c r="B1343" s="155" t="s">
        <v>37</v>
      </c>
      <c r="C1343" s="76"/>
      <c r="D1343" s="60"/>
      <c r="E1343" s="171"/>
      <c r="F1343" s="90"/>
      <c r="G1343" s="62"/>
    </row>
    <row r="1344" spans="1:7" ht="43.5" customHeight="1">
      <c r="A1344" s="171"/>
      <c r="B1344" s="85" t="s">
        <v>808</v>
      </c>
      <c r="C1344" s="74" t="s">
        <v>160</v>
      </c>
      <c r="D1344" s="87" t="s">
        <v>156</v>
      </c>
      <c r="E1344" s="171"/>
      <c r="F1344" s="90">
        <v>100</v>
      </c>
      <c r="G1344" s="62">
        <f>F1344</f>
        <v>100</v>
      </c>
    </row>
    <row r="1345" spans="1:7" ht="35.25" customHeight="1">
      <c r="A1345" s="171"/>
      <c r="B1345" s="209" t="s">
        <v>809</v>
      </c>
      <c r="C1345" s="222"/>
      <c r="D1345" s="87"/>
      <c r="E1345" s="171"/>
      <c r="F1345" s="60"/>
      <c r="G1345" s="62"/>
    </row>
    <row r="1346" spans="1:7" ht="15.75">
      <c r="A1346" s="171">
        <v>1</v>
      </c>
      <c r="B1346" s="155" t="s">
        <v>34</v>
      </c>
      <c r="C1346" s="87"/>
      <c r="D1346" s="87"/>
      <c r="E1346" s="171"/>
      <c r="F1346" s="60"/>
      <c r="G1346" s="62"/>
    </row>
    <row r="1347" spans="1:7" ht="36" customHeight="1">
      <c r="A1347" s="171"/>
      <c r="B1347" s="89" t="s">
        <v>352</v>
      </c>
      <c r="C1347" s="74" t="s">
        <v>127</v>
      </c>
      <c r="D1347" s="74" t="s">
        <v>286</v>
      </c>
      <c r="E1347" s="171"/>
      <c r="F1347" s="90">
        <f>292000</f>
        <v>292000</v>
      </c>
      <c r="G1347" s="62">
        <f>F1347</f>
        <v>292000</v>
      </c>
    </row>
    <row r="1348" spans="1:7" ht="15.75">
      <c r="A1348" s="171">
        <v>2</v>
      </c>
      <c r="B1348" s="155" t="s">
        <v>35</v>
      </c>
      <c r="C1348" s="76"/>
      <c r="D1348" s="60"/>
      <c r="E1348" s="171"/>
      <c r="F1348" s="60"/>
      <c r="G1348" s="62"/>
    </row>
    <row r="1349" spans="1:7" ht="45" customHeight="1">
      <c r="A1349" s="171"/>
      <c r="B1349" s="89" t="s">
        <v>353</v>
      </c>
      <c r="C1349" s="74" t="s">
        <v>175</v>
      </c>
      <c r="D1349" s="74" t="s">
        <v>148</v>
      </c>
      <c r="E1349" s="171"/>
      <c r="F1349" s="93">
        <f>F1347/F1351</f>
        <v>429.41176470588238</v>
      </c>
      <c r="G1349" s="78">
        <f>F1349</f>
        <v>429.41176470588238</v>
      </c>
    </row>
    <row r="1350" spans="1:7" ht="15.75">
      <c r="A1350" s="171">
        <v>3</v>
      </c>
      <c r="B1350" s="155" t="s">
        <v>36</v>
      </c>
      <c r="C1350" s="76"/>
      <c r="D1350" s="60"/>
      <c r="E1350" s="171"/>
      <c r="F1350" s="60"/>
      <c r="G1350" s="62"/>
    </row>
    <row r="1351" spans="1:7" ht="34.5" customHeight="1">
      <c r="A1351" s="171"/>
      <c r="B1351" s="85" t="s">
        <v>942</v>
      </c>
      <c r="C1351" s="74" t="s">
        <v>132</v>
      </c>
      <c r="D1351" s="74" t="s">
        <v>144</v>
      </c>
      <c r="E1351" s="171"/>
      <c r="F1351" s="90">
        <v>680</v>
      </c>
      <c r="G1351" s="62">
        <f>F1351</f>
        <v>680</v>
      </c>
    </row>
    <row r="1352" spans="1:7" ht="15.75">
      <c r="A1352" s="171">
        <v>4</v>
      </c>
      <c r="B1352" s="155" t="s">
        <v>37</v>
      </c>
      <c r="C1352" s="76"/>
      <c r="D1352" s="60"/>
      <c r="E1352" s="171"/>
      <c r="F1352" s="60"/>
      <c r="G1352" s="62"/>
    </row>
    <row r="1353" spans="1:7" ht="38.25" customHeight="1">
      <c r="A1353" s="171"/>
      <c r="B1353" s="85" t="s">
        <v>354</v>
      </c>
      <c r="C1353" s="74" t="s">
        <v>160</v>
      </c>
      <c r="D1353" s="74" t="s">
        <v>156</v>
      </c>
      <c r="E1353" s="171"/>
      <c r="F1353" s="60">
        <v>100</v>
      </c>
      <c r="G1353" s="62">
        <f>F1353</f>
        <v>100</v>
      </c>
    </row>
    <row r="1354" spans="1:7" ht="23.25" customHeight="1">
      <c r="A1354" s="171"/>
      <c r="B1354" s="223" t="s">
        <v>810</v>
      </c>
      <c r="C1354" s="215"/>
      <c r="D1354" s="60"/>
      <c r="E1354" s="171"/>
      <c r="F1354" s="60"/>
      <c r="G1354" s="62"/>
    </row>
    <row r="1355" spans="1:7" ht="15.75">
      <c r="A1355" s="171">
        <v>1</v>
      </c>
      <c r="B1355" s="155" t="s">
        <v>34</v>
      </c>
      <c r="C1355" s="76"/>
      <c r="D1355" s="60"/>
      <c r="E1355" s="171"/>
      <c r="F1355" s="60"/>
      <c r="G1355" s="62"/>
    </row>
    <row r="1356" spans="1:7" ht="30.75" customHeight="1">
      <c r="A1356" s="171"/>
      <c r="B1356" s="89" t="s">
        <v>355</v>
      </c>
      <c r="C1356" s="76" t="s">
        <v>132</v>
      </c>
      <c r="D1356" s="76" t="s">
        <v>356</v>
      </c>
      <c r="E1356" s="171"/>
      <c r="F1356" s="109">
        <f>276500</f>
        <v>276500</v>
      </c>
      <c r="G1356" s="62">
        <f>F1356</f>
        <v>276500</v>
      </c>
    </row>
    <row r="1357" spans="1:7" ht="15.75">
      <c r="A1357" s="171">
        <v>2</v>
      </c>
      <c r="B1357" s="155" t="s">
        <v>35</v>
      </c>
      <c r="C1357" s="76"/>
      <c r="D1357" s="60"/>
      <c r="E1357" s="171"/>
      <c r="F1357" s="101"/>
      <c r="G1357" s="62"/>
    </row>
    <row r="1358" spans="1:7" ht="41.25" customHeight="1">
      <c r="A1358" s="171"/>
      <c r="B1358" s="85" t="s">
        <v>357</v>
      </c>
      <c r="C1358" s="74" t="s">
        <v>175</v>
      </c>
      <c r="D1358" s="74" t="s">
        <v>148</v>
      </c>
      <c r="E1358" s="171"/>
      <c r="F1358" s="130">
        <f>F1356/F1360</f>
        <v>2299.9500914989185</v>
      </c>
      <c r="G1358" s="78">
        <f>F1358</f>
        <v>2299.9500914989185</v>
      </c>
    </row>
    <row r="1359" spans="1:7" ht="15.75">
      <c r="A1359" s="171">
        <v>3</v>
      </c>
      <c r="B1359" s="155" t="s">
        <v>36</v>
      </c>
      <c r="C1359" s="76"/>
      <c r="D1359" s="60"/>
      <c r="E1359" s="171"/>
      <c r="F1359" s="101"/>
      <c r="G1359" s="62"/>
    </row>
    <row r="1360" spans="1:7" ht="26.25">
      <c r="A1360" s="171"/>
      <c r="B1360" s="89" t="s">
        <v>943</v>
      </c>
      <c r="C1360" s="74" t="s">
        <v>132</v>
      </c>
      <c r="D1360" s="74" t="s">
        <v>144</v>
      </c>
      <c r="E1360" s="171"/>
      <c r="F1360" s="99">
        <v>120.22</v>
      </c>
      <c r="G1360" s="78">
        <f>F1360</f>
        <v>120.22</v>
      </c>
    </row>
    <row r="1361" spans="1:7" ht="15.75">
      <c r="A1361" s="171">
        <v>4</v>
      </c>
      <c r="B1361" s="155" t="s">
        <v>37</v>
      </c>
      <c r="C1361" s="76"/>
      <c r="D1361" s="60"/>
      <c r="E1361" s="171"/>
      <c r="F1361" s="60"/>
      <c r="G1361" s="62"/>
    </row>
    <row r="1362" spans="1:7" ht="26.25">
      <c r="A1362" s="171"/>
      <c r="B1362" s="89" t="s">
        <v>358</v>
      </c>
      <c r="C1362" s="76" t="s">
        <v>160</v>
      </c>
      <c r="D1362" s="74" t="s">
        <v>144</v>
      </c>
      <c r="E1362" s="171"/>
      <c r="F1362" s="60">
        <v>100</v>
      </c>
      <c r="G1362" s="62">
        <f>F1362</f>
        <v>100</v>
      </c>
    </row>
    <row r="1363" spans="1:7" ht="34.5" customHeight="1">
      <c r="A1363" s="171"/>
      <c r="B1363" s="264" t="s">
        <v>817</v>
      </c>
      <c r="C1363" s="265"/>
      <c r="D1363" s="60"/>
      <c r="E1363" s="171"/>
      <c r="F1363" s="60"/>
      <c r="G1363" s="62"/>
    </row>
    <row r="1364" spans="1:7" ht="15.75">
      <c r="A1364" s="171">
        <v>1</v>
      </c>
      <c r="B1364" s="155" t="s">
        <v>34</v>
      </c>
      <c r="C1364" s="76"/>
      <c r="D1364" s="60"/>
      <c r="E1364" s="171"/>
      <c r="F1364" s="60"/>
      <c r="G1364" s="62"/>
    </row>
    <row r="1365" spans="1:7" ht="51">
      <c r="A1365" s="171"/>
      <c r="B1365" s="85" t="s">
        <v>815</v>
      </c>
      <c r="C1365" s="74" t="s">
        <v>132</v>
      </c>
      <c r="D1365" s="87" t="s">
        <v>286</v>
      </c>
      <c r="E1365" s="171"/>
      <c r="F1365" s="90">
        <v>300000</v>
      </c>
      <c r="G1365" s="62">
        <f>F1365</f>
        <v>300000</v>
      </c>
    </row>
    <row r="1366" spans="1:7" ht="15.75">
      <c r="A1366" s="171">
        <v>2</v>
      </c>
      <c r="B1366" s="155" t="s">
        <v>35</v>
      </c>
      <c r="C1366" s="76"/>
      <c r="D1366" s="60"/>
      <c r="E1366" s="171"/>
      <c r="F1366" s="60"/>
      <c r="G1366" s="62"/>
    </row>
    <row r="1367" spans="1:7" ht="51">
      <c r="A1367" s="171"/>
      <c r="B1367" s="106" t="s">
        <v>811</v>
      </c>
      <c r="C1367" s="74" t="s">
        <v>141</v>
      </c>
      <c r="D1367" s="87" t="s">
        <v>148</v>
      </c>
      <c r="E1367" s="171"/>
      <c r="F1367" s="60">
        <v>1</v>
      </c>
      <c r="G1367" s="62">
        <f>F1367</f>
        <v>1</v>
      </c>
    </row>
    <row r="1368" spans="1:7" ht="38.25">
      <c r="A1368" s="171"/>
      <c r="B1368" s="85" t="s">
        <v>812</v>
      </c>
      <c r="C1368" s="74" t="s">
        <v>141</v>
      </c>
      <c r="D1368" s="92" t="s">
        <v>800</v>
      </c>
      <c r="E1368" s="171"/>
      <c r="F1368" s="60">
        <v>280</v>
      </c>
      <c r="G1368" s="62">
        <f>F1368</f>
        <v>280</v>
      </c>
    </row>
    <row r="1369" spans="1:7" ht="15.75">
      <c r="A1369" s="171">
        <v>3</v>
      </c>
      <c r="B1369" s="155" t="s">
        <v>36</v>
      </c>
      <c r="C1369" s="76"/>
      <c r="D1369" s="60"/>
      <c r="E1369" s="171"/>
      <c r="F1369" s="60"/>
      <c r="G1369" s="62"/>
    </row>
    <row r="1370" spans="1:7" ht="51">
      <c r="A1370" s="171"/>
      <c r="B1370" s="106" t="s">
        <v>813</v>
      </c>
      <c r="C1370" s="74" t="s">
        <v>132</v>
      </c>
      <c r="D1370" s="87" t="s">
        <v>156</v>
      </c>
      <c r="E1370" s="171"/>
      <c r="F1370" s="90">
        <v>20000</v>
      </c>
      <c r="G1370" s="62">
        <f>F1370</f>
        <v>20000</v>
      </c>
    </row>
    <row r="1371" spans="1:7" ht="51">
      <c r="A1371" s="171"/>
      <c r="B1371" s="129" t="s">
        <v>814</v>
      </c>
      <c r="C1371" s="74" t="s">
        <v>132</v>
      </c>
      <c r="D1371" s="87" t="s">
        <v>156</v>
      </c>
      <c r="E1371" s="171"/>
      <c r="F1371" s="90">
        <v>1000</v>
      </c>
      <c r="G1371" s="62">
        <f>F1371</f>
        <v>1000</v>
      </c>
    </row>
    <row r="1372" spans="1:7" ht="15.75">
      <c r="A1372" s="171">
        <v>4</v>
      </c>
      <c r="B1372" s="155" t="s">
        <v>37</v>
      </c>
      <c r="C1372" s="76"/>
      <c r="D1372" s="60"/>
      <c r="E1372" s="171"/>
      <c r="F1372" s="60"/>
      <c r="G1372" s="62"/>
    </row>
    <row r="1373" spans="1:7" ht="60.75" customHeight="1">
      <c r="A1373" s="171"/>
      <c r="B1373" s="85" t="s">
        <v>816</v>
      </c>
      <c r="C1373" s="74" t="s">
        <v>160</v>
      </c>
      <c r="D1373" s="87" t="s">
        <v>156</v>
      </c>
      <c r="E1373" s="171"/>
      <c r="F1373" s="60">
        <v>100</v>
      </c>
      <c r="G1373" s="62">
        <f>F1373</f>
        <v>100</v>
      </c>
    </row>
    <row r="1374" spans="1:7" ht="36" customHeight="1">
      <c r="A1374" s="171"/>
      <c r="B1374" s="223" t="s">
        <v>818</v>
      </c>
      <c r="C1374" s="215"/>
      <c r="D1374" s="60"/>
      <c r="E1374" s="171"/>
      <c r="F1374" s="60"/>
      <c r="G1374" s="62"/>
    </row>
    <row r="1375" spans="1:7" ht="19.5" customHeight="1">
      <c r="A1375" s="171">
        <v>1</v>
      </c>
      <c r="B1375" s="155" t="s">
        <v>34</v>
      </c>
      <c r="C1375" s="76"/>
      <c r="D1375" s="60"/>
      <c r="E1375" s="171"/>
      <c r="F1375" s="60"/>
      <c r="G1375" s="62"/>
    </row>
    <row r="1376" spans="1:7" ht="31.5" customHeight="1">
      <c r="A1376" s="171"/>
      <c r="B1376" s="89" t="s">
        <v>359</v>
      </c>
      <c r="C1376" s="74" t="s">
        <v>127</v>
      </c>
      <c r="D1376" s="74" t="s">
        <v>286</v>
      </c>
      <c r="E1376" s="171"/>
      <c r="F1376" s="95">
        <f>298000</f>
        <v>298000</v>
      </c>
      <c r="G1376" s="62">
        <f>F1376</f>
        <v>298000</v>
      </c>
    </row>
    <row r="1377" spans="1:7" ht="18.75" customHeight="1">
      <c r="A1377" s="171">
        <v>2</v>
      </c>
      <c r="B1377" s="155" t="s">
        <v>35</v>
      </c>
      <c r="C1377" s="76"/>
      <c r="D1377" s="60"/>
      <c r="E1377" s="171"/>
      <c r="F1377" s="60"/>
      <c r="G1377" s="62"/>
    </row>
    <row r="1378" spans="1:7" ht="46.5" customHeight="1">
      <c r="A1378" s="171"/>
      <c r="B1378" s="89" t="s">
        <v>819</v>
      </c>
      <c r="C1378" s="74" t="s">
        <v>141</v>
      </c>
      <c r="D1378" s="74" t="s">
        <v>148</v>
      </c>
      <c r="E1378" s="171"/>
      <c r="F1378" s="95">
        <v>50</v>
      </c>
      <c r="G1378" s="62">
        <f>F1378</f>
        <v>50</v>
      </c>
    </row>
    <row r="1379" spans="1:7" ht="18.75" customHeight="1">
      <c r="A1379" s="171">
        <v>3</v>
      </c>
      <c r="B1379" s="155" t="s">
        <v>36</v>
      </c>
      <c r="C1379" s="76"/>
      <c r="D1379" s="60"/>
      <c r="E1379" s="171"/>
      <c r="F1379" s="60"/>
      <c r="G1379" s="62"/>
    </row>
    <row r="1380" spans="1:7" ht="45.75" customHeight="1">
      <c r="A1380" s="171"/>
      <c r="B1380" s="85" t="s">
        <v>820</v>
      </c>
      <c r="C1380" s="74" t="s">
        <v>132</v>
      </c>
      <c r="D1380" s="74" t="s">
        <v>144</v>
      </c>
      <c r="E1380" s="171"/>
      <c r="F1380" s="90">
        <f>F1376/F1378</f>
        <v>5960</v>
      </c>
      <c r="G1380" s="59">
        <f>F1380</f>
        <v>5960</v>
      </c>
    </row>
    <row r="1381" spans="1:7" ht="18" customHeight="1">
      <c r="A1381" s="171">
        <v>4</v>
      </c>
      <c r="B1381" s="155" t="s">
        <v>37</v>
      </c>
      <c r="C1381" s="76"/>
      <c r="D1381" s="60"/>
      <c r="E1381" s="171"/>
      <c r="F1381" s="60"/>
      <c r="G1381" s="62"/>
    </row>
    <row r="1382" spans="1:7" ht="34.5" customHeight="1">
      <c r="A1382" s="171"/>
      <c r="B1382" s="85" t="s">
        <v>360</v>
      </c>
      <c r="C1382" s="74" t="s">
        <v>160</v>
      </c>
      <c r="D1382" s="74" t="s">
        <v>156</v>
      </c>
      <c r="E1382" s="171"/>
      <c r="F1382" s="60">
        <v>100</v>
      </c>
      <c r="G1382" s="62">
        <f>F1382</f>
        <v>100</v>
      </c>
    </row>
    <row r="1383" spans="1:7" ht="34.5" customHeight="1">
      <c r="A1383" s="171"/>
      <c r="B1383" s="223" t="s">
        <v>821</v>
      </c>
      <c r="C1383" s="215"/>
      <c r="D1383" s="60"/>
      <c r="E1383" s="171"/>
      <c r="F1383" s="60"/>
      <c r="G1383" s="62"/>
    </row>
    <row r="1384" spans="1:7" ht="16.5" customHeight="1">
      <c r="A1384" s="171">
        <v>1</v>
      </c>
      <c r="B1384" s="155" t="s">
        <v>34</v>
      </c>
      <c r="C1384" s="76"/>
      <c r="D1384" s="60"/>
      <c r="E1384" s="171"/>
      <c r="F1384" s="60"/>
      <c r="G1384" s="62"/>
    </row>
    <row r="1385" spans="1:7" ht="34.5" customHeight="1">
      <c r="A1385" s="171"/>
      <c r="B1385" s="89" t="s">
        <v>361</v>
      </c>
      <c r="C1385" s="74" t="s">
        <v>127</v>
      </c>
      <c r="D1385" s="74" t="s">
        <v>286</v>
      </c>
      <c r="E1385" s="171"/>
      <c r="F1385" s="95">
        <f>297000</f>
        <v>297000</v>
      </c>
      <c r="G1385" s="62">
        <f>F1385</f>
        <v>297000</v>
      </c>
    </row>
    <row r="1386" spans="1:7" ht="19.5" customHeight="1">
      <c r="A1386" s="171">
        <v>2</v>
      </c>
      <c r="B1386" s="155" t="s">
        <v>35</v>
      </c>
      <c r="C1386" s="76"/>
      <c r="D1386" s="60"/>
      <c r="E1386" s="171"/>
      <c r="F1386" s="60"/>
      <c r="G1386" s="62"/>
    </row>
    <row r="1387" spans="1:7" ht="45.75" customHeight="1">
      <c r="A1387" s="171"/>
      <c r="B1387" s="89" t="s">
        <v>362</v>
      </c>
      <c r="C1387" s="74" t="s">
        <v>175</v>
      </c>
      <c r="D1387" s="74" t="s">
        <v>148</v>
      </c>
      <c r="E1387" s="171"/>
      <c r="F1387" s="90">
        <v>1650</v>
      </c>
      <c r="G1387" s="62">
        <f>F1387</f>
        <v>1650</v>
      </c>
    </row>
    <row r="1388" spans="1:7" ht="23.25" customHeight="1">
      <c r="A1388" s="171">
        <v>3</v>
      </c>
      <c r="B1388" s="155" t="s">
        <v>36</v>
      </c>
      <c r="C1388" s="76"/>
      <c r="D1388" s="60"/>
      <c r="E1388" s="171"/>
      <c r="F1388" s="60"/>
      <c r="G1388" s="62"/>
    </row>
    <row r="1389" spans="1:7" ht="34.5" customHeight="1">
      <c r="A1389" s="171"/>
      <c r="B1389" s="89" t="s">
        <v>944</v>
      </c>
      <c r="C1389" s="74" t="s">
        <v>132</v>
      </c>
      <c r="D1389" s="74" t="s">
        <v>144</v>
      </c>
      <c r="E1389" s="171"/>
      <c r="F1389" s="60">
        <f>F1385/F1387</f>
        <v>180</v>
      </c>
      <c r="G1389" s="62">
        <f>F1389</f>
        <v>180</v>
      </c>
    </row>
    <row r="1390" spans="1:7" ht="23.25" customHeight="1">
      <c r="A1390" s="171">
        <v>4</v>
      </c>
      <c r="B1390" s="155" t="s">
        <v>37</v>
      </c>
      <c r="C1390" s="76"/>
      <c r="D1390" s="60"/>
      <c r="E1390" s="171"/>
      <c r="F1390" s="60"/>
      <c r="G1390" s="62"/>
    </row>
    <row r="1391" spans="1:7" ht="34.5" customHeight="1">
      <c r="A1391" s="171"/>
      <c r="B1391" s="89" t="s">
        <v>363</v>
      </c>
      <c r="C1391" s="74" t="s">
        <v>160</v>
      </c>
      <c r="D1391" s="74" t="s">
        <v>156</v>
      </c>
      <c r="E1391" s="171"/>
      <c r="F1391" s="60">
        <v>100</v>
      </c>
      <c r="G1391" s="62">
        <f>F1391</f>
        <v>100</v>
      </c>
    </row>
    <row r="1392" spans="1:7" ht="33.75" customHeight="1">
      <c r="A1392" s="171"/>
      <c r="B1392" s="223" t="s">
        <v>487</v>
      </c>
      <c r="C1392" s="215"/>
      <c r="D1392" s="60"/>
      <c r="E1392" s="171"/>
      <c r="F1392" s="60"/>
      <c r="G1392" s="62"/>
    </row>
    <row r="1393" spans="1:7" ht="21" customHeight="1">
      <c r="A1393" s="171">
        <v>1</v>
      </c>
      <c r="B1393" s="155" t="s">
        <v>34</v>
      </c>
      <c r="C1393" s="76"/>
      <c r="D1393" s="60"/>
      <c r="E1393" s="171"/>
      <c r="F1393" s="60"/>
      <c r="G1393" s="62"/>
    </row>
    <row r="1394" spans="1:7" ht="28.5" customHeight="1">
      <c r="A1394" s="171"/>
      <c r="B1394" s="89" t="s">
        <v>484</v>
      </c>
      <c r="C1394" s="74" t="s">
        <v>127</v>
      </c>
      <c r="D1394" s="74" t="s">
        <v>286</v>
      </c>
      <c r="E1394" s="171"/>
      <c r="F1394" s="95">
        <v>350000</v>
      </c>
      <c r="G1394" s="62">
        <f>F1394</f>
        <v>350000</v>
      </c>
    </row>
    <row r="1395" spans="1:7" ht="21" customHeight="1">
      <c r="A1395" s="171">
        <v>2</v>
      </c>
      <c r="B1395" s="155" t="s">
        <v>35</v>
      </c>
      <c r="C1395" s="76"/>
      <c r="D1395" s="60"/>
      <c r="E1395" s="171"/>
      <c r="F1395" s="60"/>
      <c r="G1395" s="62"/>
    </row>
    <row r="1396" spans="1:7" ht="51.75" customHeight="1">
      <c r="A1396" s="171"/>
      <c r="B1396" s="89" t="s">
        <v>485</v>
      </c>
      <c r="C1396" s="74" t="s">
        <v>175</v>
      </c>
      <c r="D1396" s="74" t="s">
        <v>148</v>
      </c>
      <c r="E1396" s="171"/>
      <c r="F1396" s="95">
        <f>F1394/F1398</f>
        <v>1400</v>
      </c>
      <c r="G1396" s="62">
        <f>F1396</f>
        <v>1400</v>
      </c>
    </row>
    <row r="1397" spans="1:7" ht="21" customHeight="1">
      <c r="A1397" s="171">
        <v>3</v>
      </c>
      <c r="B1397" s="155" t="s">
        <v>36</v>
      </c>
      <c r="C1397" s="76"/>
      <c r="D1397" s="60"/>
      <c r="E1397" s="171"/>
      <c r="F1397" s="60"/>
      <c r="G1397" s="62"/>
    </row>
    <row r="1398" spans="1:7" ht="47.25" customHeight="1">
      <c r="A1398" s="171"/>
      <c r="B1398" s="89" t="s">
        <v>945</v>
      </c>
      <c r="C1398" s="74" t="s">
        <v>132</v>
      </c>
      <c r="D1398" s="74" t="s">
        <v>144</v>
      </c>
      <c r="E1398" s="171"/>
      <c r="F1398" s="90">
        <v>250</v>
      </c>
      <c r="G1398" s="59">
        <f>F1398</f>
        <v>250</v>
      </c>
    </row>
    <row r="1399" spans="1:7" ht="21" customHeight="1">
      <c r="A1399" s="171">
        <v>4</v>
      </c>
      <c r="B1399" s="155" t="s">
        <v>37</v>
      </c>
      <c r="C1399" s="76"/>
      <c r="D1399" s="60"/>
      <c r="E1399" s="171"/>
      <c r="F1399" s="60"/>
      <c r="G1399" s="62"/>
    </row>
    <row r="1400" spans="1:7" ht="38.25" customHeight="1">
      <c r="A1400" s="171"/>
      <c r="B1400" s="85" t="s">
        <v>486</v>
      </c>
      <c r="C1400" s="74" t="s">
        <v>160</v>
      </c>
      <c r="D1400" s="74" t="s">
        <v>156</v>
      </c>
      <c r="E1400" s="171"/>
      <c r="F1400" s="60">
        <v>100</v>
      </c>
      <c r="G1400" s="62">
        <f>F1400</f>
        <v>100</v>
      </c>
    </row>
    <row r="1401" spans="1:7" ht="54.75" customHeight="1">
      <c r="A1401" s="171"/>
      <c r="B1401" s="264" t="s">
        <v>832</v>
      </c>
      <c r="C1401" s="265"/>
      <c r="D1401" s="60"/>
      <c r="E1401" s="171"/>
      <c r="F1401" s="60"/>
      <c r="G1401" s="62"/>
    </row>
    <row r="1402" spans="1:7" ht="20.25" customHeight="1">
      <c r="A1402" s="171">
        <v>1</v>
      </c>
      <c r="B1402" s="155" t="s">
        <v>34</v>
      </c>
      <c r="C1402" s="76"/>
      <c r="D1402" s="60"/>
      <c r="E1402" s="171"/>
      <c r="F1402" s="60"/>
      <c r="G1402" s="62"/>
    </row>
    <row r="1403" spans="1:7" ht="66" customHeight="1">
      <c r="A1403" s="171"/>
      <c r="B1403" s="85" t="s">
        <v>826</v>
      </c>
      <c r="C1403" s="74" t="s">
        <v>132</v>
      </c>
      <c r="D1403" s="87" t="s">
        <v>286</v>
      </c>
      <c r="E1403" s="171"/>
      <c r="F1403" s="90">
        <v>500000</v>
      </c>
      <c r="G1403" s="62">
        <f>F1403</f>
        <v>500000</v>
      </c>
    </row>
    <row r="1404" spans="1:7" ht="20.25" customHeight="1">
      <c r="A1404" s="171">
        <v>2</v>
      </c>
      <c r="B1404" s="155" t="s">
        <v>35</v>
      </c>
      <c r="C1404" s="76"/>
      <c r="D1404" s="60"/>
      <c r="E1404" s="171"/>
      <c r="F1404" s="60"/>
      <c r="G1404" s="62"/>
    </row>
    <row r="1405" spans="1:7" ht="78" customHeight="1">
      <c r="A1405" s="171"/>
      <c r="B1405" s="106" t="s">
        <v>822</v>
      </c>
      <c r="C1405" s="74" t="s">
        <v>141</v>
      </c>
      <c r="D1405" s="87" t="s">
        <v>148</v>
      </c>
      <c r="E1405" s="171"/>
      <c r="F1405" s="60">
        <v>1</v>
      </c>
      <c r="G1405" s="62">
        <f>F1405</f>
        <v>1</v>
      </c>
    </row>
    <row r="1406" spans="1:7" ht="66" customHeight="1">
      <c r="A1406" s="171"/>
      <c r="B1406" s="85" t="s">
        <v>823</v>
      </c>
      <c r="C1406" s="74" t="s">
        <v>141</v>
      </c>
      <c r="D1406" s="92" t="s">
        <v>800</v>
      </c>
      <c r="E1406" s="171"/>
      <c r="F1406" s="93">
        <v>252.63157894736841</v>
      </c>
      <c r="G1406" s="78">
        <f>F1406</f>
        <v>252.63157894736841</v>
      </c>
    </row>
    <row r="1407" spans="1:7" ht="18" customHeight="1">
      <c r="A1407" s="171">
        <v>3</v>
      </c>
      <c r="B1407" s="155" t="s">
        <v>36</v>
      </c>
      <c r="C1407" s="76"/>
      <c r="D1407" s="60"/>
      <c r="E1407" s="171"/>
      <c r="F1407" s="60"/>
      <c r="G1407" s="62"/>
    </row>
    <row r="1408" spans="1:7" ht="73.5" customHeight="1">
      <c r="A1408" s="171"/>
      <c r="B1408" s="106" t="s">
        <v>824</v>
      </c>
      <c r="C1408" s="74" t="s">
        <v>132</v>
      </c>
      <c r="D1408" s="87" t="s">
        <v>156</v>
      </c>
      <c r="E1408" s="171"/>
      <c r="F1408" s="90">
        <v>20000</v>
      </c>
      <c r="G1408" s="62">
        <f>F1408</f>
        <v>20000</v>
      </c>
    </row>
    <row r="1409" spans="1:7" ht="38.25" customHeight="1">
      <c r="A1409" s="171"/>
      <c r="B1409" s="129" t="s">
        <v>825</v>
      </c>
      <c r="C1409" s="74" t="s">
        <v>132</v>
      </c>
      <c r="D1409" s="87" t="s">
        <v>156</v>
      </c>
      <c r="E1409" s="171"/>
      <c r="F1409" s="90">
        <v>1900</v>
      </c>
      <c r="G1409" s="62">
        <f>F1409</f>
        <v>1900</v>
      </c>
    </row>
    <row r="1410" spans="1:7" ht="18.75" customHeight="1">
      <c r="A1410" s="171">
        <v>4</v>
      </c>
      <c r="B1410" s="155" t="s">
        <v>37</v>
      </c>
      <c r="C1410" s="76"/>
      <c r="D1410" s="60"/>
      <c r="E1410" s="171"/>
      <c r="F1410" s="60"/>
      <c r="G1410" s="62"/>
    </row>
    <row r="1411" spans="1:7" ht="69" customHeight="1">
      <c r="A1411" s="171"/>
      <c r="B1411" s="85" t="s">
        <v>827</v>
      </c>
      <c r="C1411" s="74" t="s">
        <v>160</v>
      </c>
      <c r="D1411" s="87" t="s">
        <v>156</v>
      </c>
      <c r="E1411" s="171"/>
      <c r="F1411" s="60">
        <v>100</v>
      </c>
      <c r="G1411" s="62">
        <f>F1411</f>
        <v>100</v>
      </c>
    </row>
    <row r="1412" spans="1:7" ht="37.5" customHeight="1">
      <c r="A1412" s="171"/>
      <c r="B1412" s="223" t="s">
        <v>1055</v>
      </c>
      <c r="C1412" s="215"/>
      <c r="D1412" s="60"/>
      <c r="E1412" s="171"/>
      <c r="F1412" s="60"/>
      <c r="G1412" s="62"/>
    </row>
    <row r="1413" spans="1:7" ht="22.5" customHeight="1">
      <c r="A1413" s="171">
        <v>1</v>
      </c>
      <c r="B1413" s="155" t="s">
        <v>34</v>
      </c>
      <c r="C1413" s="76"/>
      <c r="D1413" s="60"/>
      <c r="E1413" s="171"/>
      <c r="F1413" s="60"/>
      <c r="G1413" s="62"/>
    </row>
    <row r="1414" spans="1:7" ht="39.75" customHeight="1">
      <c r="A1414" s="171"/>
      <c r="B1414" s="89" t="s">
        <v>1056</v>
      </c>
      <c r="C1414" s="74" t="s">
        <v>127</v>
      </c>
      <c r="D1414" s="74" t="s">
        <v>286</v>
      </c>
      <c r="E1414" s="171"/>
      <c r="F1414" s="95">
        <f>36258</f>
        <v>36258</v>
      </c>
      <c r="G1414" s="62">
        <f>F1414</f>
        <v>36258</v>
      </c>
    </row>
    <row r="1415" spans="1:7" ht="24" customHeight="1">
      <c r="A1415" s="171">
        <v>2</v>
      </c>
      <c r="B1415" s="155" t="s">
        <v>35</v>
      </c>
      <c r="C1415" s="76"/>
      <c r="D1415" s="60"/>
      <c r="E1415" s="171"/>
      <c r="F1415" s="60"/>
      <c r="G1415" s="62"/>
    </row>
    <row r="1416" spans="1:7" ht="48.75" customHeight="1">
      <c r="A1416" s="171"/>
      <c r="B1416" s="85" t="s">
        <v>1059</v>
      </c>
      <c r="C1416" s="74" t="s">
        <v>175</v>
      </c>
      <c r="D1416" s="74" t="s">
        <v>148</v>
      </c>
      <c r="E1416" s="171"/>
      <c r="F1416" s="95">
        <f>F1414/F1418</f>
        <v>145.03200000000001</v>
      </c>
      <c r="G1416" s="62">
        <f>F1416</f>
        <v>145.03200000000001</v>
      </c>
    </row>
    <row r="1417" spans="1:7" ht="23.25" customHeight="1">
      <c r="A1417" s="171">
        <v>3</v>
      </c>
      <c r="B1417" s="155" t="s">
        <v>36</v>
      </c>
      <c r="C1417" s="76"/>
      <c r="D1417" s="60"/>
      <c r="E1417" s="171"/>
      <c r="F1417" s="60"/>
      <c r="G1417" s="62"/>
    </row>
    <row r="1418" spans="1:7" ht="54.75" customHeight="1">
      <c r="A1418" s="171"/>
      <c r="B1418" s="85" t="s">
        <v>1057</v>
      </c>
      <c r="C1418" s="74" t="s">
        <v>132</v>
      </c>
      <c r="D1418" s="74" t="s">
        <v>144</v>
      </c>
      <c r="E1418" s="171"/>
      <c r="F1418" s="90">
        <v>250</v>
      </c>
      <c r="G1418" s="59">
        <f>F1418</f>
        <v>250</v>
      </c>
    </row>
    <row r="1419" spans="1:7" ht="17.25" customHeight="1">
      <c r="A1419" s="171">
        <v>4</v>
      </c>
      <c r="B1419" s="155" t="s">
        <v>37</v>
      </c>
      <c r="C1419" s="76"/>
      <c r="D1419" s="60"/>
      <c r="E1419" s="171"/>
      <c r="F1419" s="60"/>
      <c r="G1419" s="62"/>
    </row>
    <row r="1420" spans="1:7" ht="48" customHeight="1">
      <c r="A1420" s="171"/>
      <c r="B1420" s="85" t="s">
        <v>1058</v>
      </c>
      <c r="C1420" s="74" t="s">
        <v>160</v>
      </c>
      <c r="D1420" s="74" t="s">
        <v>156</v>
      </c>
      <c r="E1420" s="171"/>
      <c r="F1420" s="60">
        <v>100</v>
      </c>
      <c r="G1420" s="62">
        <f>F1420</f>
        <v>100</v>
      </c>
    </row>
    <row r="1421" spans="1:7" ht="30.75" customHeight="1">
      <c r="A1421" s="171"/>
      <c r="B1421" s="221" t="s">
        <v>462</v>
      </c>
      <c r="C1421" s="221"/>
      <c r="D1421" s="74"/>
      <c r="E1421" s="171"/>
      <c r="F1421" s="60"/>
      <c r="G1421" s="62"/>
    </row>
    <row r="1422" spans="1:7" ht="39.75" customHeight="1">
      <c r="A1422" s="171"/>
      <c r="B1422" s="209" t="s">
        <v>828</v>
      </c>
      <c r="C1422" s="210"/>
      <c r="D1422" s="74"/>
      <c r="E1422" s="171"/>
      <c r="F1422" s="60"/>
      <c r="G1422" s="62"/>
    </row>
    <row r="1423" spans="1:7" ht="18" customHeight="1">
      <c r="A1423" s="171">
        <v>1</v>
      </c>
      <c r="B1423" s="155" t="s">
        <v>34</v>
      </c>
      <c r="C1423" s="110"/>
      <c r="D1423" s="74"/>
      <c r="E1423" s="171"/>
      <c r="F1423" s="60"/>
      <c r="G1423" s="62"/>
    </row>
    <row r="1424" spans="1:7" ht="39" customHeight="1">
      <c r="A1424" s="171"/>
      <c r="B1424" s="80" t="s">
        <v>829</v>
      </c>
      <c r="C1424" s="107" t="s">
        <v>127</v>
      </c>
      <c r="D1424" s="87" t="s">
        <v>286</v>
      </c>
      <c r="E1424" s="171"/>
      <c r="F1424" s="95">
        <f>299000-97596</f>
        <v>201404</v>
      </c>
      <c r="G1424" s="62">
        <f>F1424</f>
        <v>201404</v>
      </c>
    </row>
    <row r="1425" spans="1:7" ht="15.75" customHeight="1">
      <c r="A1425" s="171">
        <v>2</v>
      </c>
      <c r="B1425" s="155" t="s">
        <v>35</v>
      </c>
      <c r="C1425" s="110"/>
      <c r="D1425" s="74"/>
      <c r="E1425" s="171"/>
      <c r="F1425" s="60"/>
      <c r="G1425" s="62"/>
    </row>
    <row r="1426" spans="1:7" ht="46.5" customHeight="1">
      <c r="A1426" s="171"/>
      <c r="B1426" s="85" t="s">
        <v>499</v>
      </c>
      <c r="C1426" s="74" t="s">
        <v>129</v>
      </c>
      <c r="D1426" s="74" t="s">
        <v>148</v>
      </c>
      <c r="E1426" s="171"/>
      <c r="F1426" s="60">
        <v>1</v>
      </c>
      <c r="G1426" s="62">
        <f>F1426</f>
        <v>1</v>
      </c>
    </row>
    <row r="1427" spans="1:7" ht="21" customHeight="1">
      <c r="A1427" s="171">
        <v>3</v>
      </c>
      <c r="B1427" s="155" t="s">
        <v>36</v>
      </c>
      <c r="C1427" s="74"/>
      <c r="D1427" s="74"/>
      <c r="E1427" s="171"/>
      <c r="F1427" s="60"/>
      <c r="G1427" s="62"/>
    </row>
    <row r="1428" spans="1:7" ht="36.75" customHeight="1">
      <c r="A1428" s="171"/>
      <c r="B1428" s="85" t="s">
        <v>500</v>
      </c>
      <c r="C1428" s="74" t="s">
        <v>127</v>
      </c>
      <c r="D1428" s="74" t="s">
        <v>144</v>
      </c>
      <c r="E1428" s="171"/>
      <c r="F1428" s="95">
        <f>F1424/F1426</f>
        <v>201404</v>
      </c>
      <c r="G1428" s="62">
        <f>F1428</f>
        <v>201404</v>
      </c>
    </row>
    <row r="1429" spans="1:7" ht="17.25" customHeight="1">
      <c r="A1429" s="171">
        <v>4</v>
      </c>
      <c r="B1429" s="155" t="s">
        <v>37</v>
      </c>
      <c r="C1429" s="76"/>
      <c r="D1429" s="60"/>
      <c r="E1429" s="171"/>
      <c r="F1429" s="60"/>
      <c r="G1429" s="62"/>
    </row>
    <row r="1430" spans="1:7" ht="50.25" customHeight="1">
      <c r="A1430" s="171"/>
      <c r="B1430" s="85" t="s">
        <v>830</v>
      </c>
      <c r="C1430" s="74" t="s">
        <v>160</v>
      </c>
      <c r="D1430" s="74" t="s">
        <v>156</v>
      </c>
      <c r="E1430" s="171"/>
      <c r="F1430" s="60">
        <v>100</v>
      </c>
      <c r="G1430" s="62">
        <f>F1430</f>
        <v>100</v>
      </c>
    </row>
    <row r="1431" spans="1:7" ht="36" customHeight="1">
      <c r="A1431" s="171"/>
      <c r="B1431" s="209" t="s">
        <v>910</v>
      </c>
      <c r="C1431" s="210"/>
      <c r="D1431" s="74"/>
      <c r="E1431" s="171"/>
      <c r="F1431" s="60"/>
      <c r="G1431" s="62"/>
    </row>
    <row r="1432" spans="1:7" ht="18.75" customHeight="1">
      <c r="A1432" s="171">
        <v>1</v>
      </c>
      <c r="B1432" s="155" t="s">
        <v>34</v>
      </c>
      <c r="C1432" s="74"/>
      <c r="D1432" s="74"/>
      <c r="E1432" s="171"/>
      <c r="F1432" s="60"/>
      <c r="G1432" s="62"/>
    </row>
    <row r="1433" spans="1:7" ht="45.75" customHeight="1">
      <c r="A1433" s="171"/>
      <c r="B1433" s="80" t="s">
        <v>913</v>
      </c>
      <c r="C1433" s="107" t="s">
        <v>127</v>
      </c>
      <c r="D1433" s="87" t="s">
        <v>286</v>
      </c>
      <c r="E1433" s="171"/>
      <c r="F1433" s="90">
        <f>150000</f>
        <v>150000</v>
      </c>
      <c r="G1433" s="62">
        <f>F1433</f>
        <v>150000</v>
      </c>
    </row>
    <row r="1434" spans="1:7" ht="20.25" customHeight="1">
      <c r="A1434" s="171">
        <v>2</v>
      </c>
      <c r="B1434" s="155" t="s">
        <v>35</v>
      </c>
      <c r="C1434" s="110"/>
      <c r="D1434" s="74"/>
      <c r="E1434" s="171"/>
      <c r="F1434" s="60"/>
      <c r="G1434" s="62"/>
    </row>
    <row r="1435" spans="1:7" ht="38.25" customHeight="1">
      <c r="A1435" s="171"/>
      <c r="B1435" s="85" t="s">
        <v>911</v>
      </c>
      <c r="C1435" s="74" t="s">
        <v>129</v>
      </c>
      <c r="D1435" s="74" t="s">
        <v>148</v>
      </c>
      <c r="E1435" s="171"/>
      <c r="F1435" s="60">
        <v>100</v>
      </c>
      <c r="G1435" s="62">
        <f>F1435</f>
        <v>100</v>
      </c>
    </row>
    <row r="1436" spans="1:7" ht="18.75" customHeight="1">
      <c r="A1436" s="171">
        <v>3</v>
      </c>
      <c r="B1436" s="155" t="s">
        <v>36</v>
      </c>
      <c r="C1436" s="74"/>
      <c r="D1436" s="74"/>
      <c r="E1436" s="171"/>
      <c r="F1436" s="60"/>
      <c r="G1436" s="62"/>
    </row>
    <row r="1437" spans="1:7" ht="30" customHeight="1">
      <c r="A1437" s="171"/>
      <c r="B1437" s="89" t="s">
        <v>912</v>
      </c>
      <c r="C1437" s="74" t="s">
        <v>127</v>
      </c>
      <c r="D1437" s="74" t="s">
        <v>144</v>
      </c>
      <c r="E1437" s="171"/>
      <c r="F1437" s="60">
        <v>1500</v>
      </c>
      <c r="G1437" s="62">
        <f>F1437</f>
        <v>1500</v>
      </c>
    </row>
    <row r="1438" spans="1:7" ht="20.25" customHeight="1">
      <c r="A1438" s="171">
        <v>4</v>
      </c>
      <c r="B1438" s="155" t="s">
        <v>37</v>
      </c>
      <c r="C1438" s="74"/>
      <c r="D1438" s="74"/>
      <c r="E1438" s="171"/>
      <c r="F1438" s="60"/>
      <c r="G1438" s="62"/>
    </row>
    <row r="1439" spans="1:7" ht="43.5" customHeight="1">
      <c r="A1439" s="171"/>
      <c r="B1439" s="85" t="s">
        <v>914</v>
      </c>
      <c r="C1439" s="74" t="s">
        <v>160</v>
      </c>
      <c r="D1439" s="74" t="s">
        <v>156</v>
      </c>
      <c r="E1439" s="171"/>
      <c r="F1439" s="60">
        <v>100</v>
      </c>
      <c r="G1439" s="62">
        <f>F1439</f>
        <v>100</v>
      </c>
    </row>
    <row r="1440" spans="1:7" ht="1.5" customHeight="1">
      <c r="A1440" s="171"/>
      <c r="B1440" s="85"/>
      <c r="C1440" s="74"/>
      <c r="D1440" s="74"/>
      <c r="E1440" s="171"/>
      <c r="F1440" s="60"/>
      <c r="G1440" s="62"/>
    </row>
    <row r="1441" spans="1:8" ht="15" customHeight="1">
      <c r="A1441" s="111"/>
      <c r="B1441" s="112"/>
      <c r="C1441" s="113"/>
      <c r="D1441" s="113"/>
      <c r="E1441" s="111"/>
      <c r="F1441" s="114"/>
      <c r="G1441" s="115"/>
    </row>
    <row r="1442" spans="1:8" ht="9.75" customHeight="1">
      <c r="A1442" s="111"/>
      <c r="B1442" s="112"/>
      <c r="C1442" s="113"/>
      <c r="D1442" s="113"/>
      <c r="E1442" s="111"/>
      <c r="F1442" s="114"/>
      <c r="G1442" s="115"/>
    </row>
    <row r="1443" spans="1:8" ht="11.25" customHeight="1">
      <c r="A1443" s="111"/>
      <c r="B1443" s="112"/>
      <c r="C1443" s="113"/>
      <c r="D1443" s="113"/>
      <c r="E1443" s="111"/>
      <c r="F1443" s="114"/>
      <c r="G1443" s="115"/>
    </row>
    <row r="1444" spans="1:8" ht="48.75" customHeight="1">
      <c r="A1444" s="266" t="s">
        <v>935</v>
      </c>
      <c r="B1444" s="267"/>
      <c r="C1444" s="267"/>
      <c r="D1444" s="116"/>
      <c r="E1444" s="117"/>
      <c r="F1444" s="260" t="s">
        <v>936</v>
      </c>
      <c r="G1444" s="260"/>
    </row>
    <row r="1445" spans="1:8" ht="15.75">
      <c r="A1445" s="118"/>
      <c r="B1445" s="174"/>
      <c r="D1445" s="119" t="s">
        <v>38</v>
      </c>
      <c r="F1445" s="257" t="s">
        <v>456</v>
      </c>
      <c r="G1445" s="257"/>
    </row>
    <row r="1446" spans="1:8" ht="15.75">
      <c r="A1446" s="118"/>
      <c r="B1446" s="174"/>
      <c r="D1446" s="119"/>
      <c r="F1446" s="131"/>
      <c r="G1446" s="131"/>
    </row>
    <row r="1447" spans="1:8" ht="15.75" customHeight="1">
      <c r="A1447" s="238" t="s">
        <v>40</v>
      </c>
      <c r="B1447" s="238"/>
      <c r="C1447" s="174"/>
      <c r="D1447" s="174"/>
    </row>
    <row r="1448" spans="1:8" ht="9.75" customHeight="1">
      <c r="A1448" s="172"/>
      <c r="B1448" s="172"/>
      <c r="C1448" s="174"/>
      <c r="D1448" s="174"/>
    </row>
    <row r="1449" spans="1:8" ht="10.5" customHeight="1">
      <c r="A1449" s="172"/>
      <c r="B1449" s="172"/>
      <c r="C1449" s="174"/>
      <c r="D1449" s="174"/>
    </row>
    <row r="1450" spans="1:8" s="163" customFormat="1" ht="18.75">
      <c r="A1450" s="261"/>
      <c r="B1450" s="261"/>
      <c r="C1450" s="261"/>
      <c r="D1450" s="162"/>
    </row>
    <row r="1451" spans="1:8" s="5" customFormat="1" ht="47.25" customHeight="1">
      <c r="A1451" s="261" t="s">
        <v>1060</v>
      </c>
      <c r="B1451" s="261"/>
      <c r="C1451" s="261"/>
      <c r="D1451" s="116"/>
      <c r="E1451" s="117"/>
      <c r="F1451" s="260" t="s">
        <v>1061</v>
      </c>
      <c r="G1451" s="260"/>
    </row>
    <row r="1452" spans="1:8" ht="15.75">
      <c r="B1452" s="174"/>
      <c r="C1452" s="174"/>
      <c r="D1452" s="119" t="s">
        <v>38</v>
      </c>
      <c r="F1452" s="257" t="s">
        <v>78</v>
      </c>
      <c r="G1452" s="257"/>
    </row>
    <row r="1453" spans="1:8">
      <c r="A1453" s="149" t="s">
        <v>76</v>
      </c>
      <c r="B1453" s="149"/>
      <c r="C1453" s="149"/>
      <c r="D1453" s="149"/>
      <c r="E1453" s="149"/>
      <c r="F1453" s="149"/>
      <c r="G1453" s="149"/>
      <c r="H1453" s="151"/>
    </row>
    <row r="1454" spans="1:8" s="5" customFormat="1" ht="21" customHeight="1">
      <c r="A1454" s="141"/>
      <c r="B1454" s="35"/>
      <c r="C1454" s="35"/>
      <c r="D1454" s="35"/>
      <c r="E1454" s="35"/>
      <c r="F1454" s="35"/>
      <c r="G1454" s="35"/>
    </row>
    <row r="1455" spans="1:8" ht="18.75">
      <c r="A1455" s="150" t="s">
        <v>845</v>
      </c>
      <c r="B1455" s="149"/>
      <c r="C1455" s="149"/>
      <c r="D1455" s="149"/>
      <c r="E1455" s="149"/>
      <c r="F1455" s="149"/>
      <c r="G1455" s="149"/>
      <c r="H1455" s="140"/>
    </row>
    <row r="1456" spans="1:8">
      <c r="A1456" s="120"/>
    </row>
    <row r="1457" spans="1:1">
      <c r="A1457" s="120"/>
    </row>
  </sheetData>
  <mergeCells count="205">
    <mergeCell ref="A86:A87"/>
    <mergeCell ref="B537:C537"/>
    <mergeCell ref="B1120:C1120"/>
    <mergeCell ref="B1195:C1195"/>
    <mergeCell ref="B1206:C1206"/>
    <mergeCell ref="B1412:C1412"/>
    <mergeCell ref="B568:C568"/>
    <mergeCell ref="B463:C463"/>
    <mergeCell ref="B665:C665"/>
    <mergeCell ref="B844:C844"/>
    <mergeCell ref="B1142:C1142"/>
    <mergeCell ref="B1151:C1151"/>
    <mergeCell ref="B1162:C1162"/>
    <mergeCell ref="B1173:C1173"/>
    <mergeCell ref="B1184:C1184"/>
    <mergeCell ref="B1262:C1262"/>
    <mergeCell ref="B1218:C1218"/>
    <mergeCell ref="B1089:C1089"/>
    <mergeCell ref="B1060:C1060"/>
    <mergeCell ref="B1207:C1207"/>
    <mergeCell ref="B676:C676"/>
    <mergeCell ref="B713:C713"/>
    <mergeCell ref="B724:C724"/>
    <mergeCell ref="B704:C704"/>
    <mergeCell ref="B77:C77"/>
    <mergeCell ref="B79:C79"/>
    <mergeCell ref="B75:C75"/>
    <mergeCell ref="B419:C419"/>
    <mergeCell ref="B1421:C1421"/>
    <mergeCell ref="B452:C452"/>
    <mergeCell ref="B1354:C1354"/>
    <mergeCell ref="B1080:C1080"/>
    <mergeCell ref="B695:C695"/>
    <mergeCell ref="B1401:C1401"/>
    <mergeCell ref="B921:C921"/>
    <mergeCell ref="B930:C930"/>
    <mergeCell ref="B957:C957"/>
    <mergeCell ref="B474:C474"/>
    <mergeCell ref="B1322:C1322"/>
    <mergeCell ref="B865:C865"/>
    <mergeCell ref="B874:C874"/>
    <mergeCell ref="B1004:C1004"/>
    <mergeCell ref="B742:C742"/>
    <mergeCell ref="B751:C751"/>
    <mergeCell ref="B590:C590"/>
    <mergeCell ref="B601:C601"/>
    <mergeCell ref="B995:C995"/>
    <mergeCell ref="B1033:C1033"/>
    <mergeCell ref="B23:G23"/>
    <mergeCell ref="B86:G86"/>
    <mergeCell ref="B24:G24"/>
    <mergeCell ref="B98:C98"/>
    <mergeCell ref="B341:C341"/>
    <mergeCell ref="B205:C205"/>
    <mergeCell ref="B219:C219"/>
    <mergeCell ref="B387:C387"/>
    <mergeCell ref="B483:C483"/>
    <mergeCell ref="B42:G42"/>
    <mergeCell ref="B43:G43"/>
    <mergeCell ref="B37:G37"/>
    <mergeCell ref="B38:G38"/>
    <mergeCell ref="B54:C54"/>
    <mergeCell ref="B63:C63"/>
    <mergeCell ref="B51:C51"/>
    <mergeCell ref="B65:C65"/>
    <mergeCell ref="B76:C76"/>
    <mergeCell ref="B25:G25"/>
    <mergeCell ref="B83:C83"/>
    <mergeCell ref="B268:C268"/>
    <mergeCell ref="B399:C399"/>
    <mergeCell ref="B398:C398"/>
    <mergeCell ref="B26:G26"/>
    <mergeCell ref="A20:C20"/>
    <mergeCell ref="D20:E20"/>
    <mergeCell ref="B82:C82"/>
    <mergeCell ref="A84:C84"/>
    <mergeCell ref="B78:C78"/>
    <mergeCell ref="B67:C67"/>
    <mergeCell ref="E22:F22"/>
    <mergeCell ref="B32:G32"/>
    <mergeCell ref="B39:G39"/>
    <mergeCell ref="B40:G40"/>
    <mergeCell ref="B47:C47"/>
    <mergeCell ref="B62:C62"/>
    <mergeCell ref="B80:C80"/>
    <mergeCell ref="B81:C81"/>
    <mergeCell ref="B73:C73"/>
    <mergeCell ref="B74:C74"/>
    <mergeCell ref="B60:C60"/>
    <mergeCell ref="B52:C52"/>
    <mergeCell ref="B55:C55"/>
    <mergeCell ref="B69:C69"/>
    <mergeCell ref="B71:C71"/>
    <mergeCell ref="B68:C68"/>
    <mergeCell ref="B70:C70"/>
    <mergeCell ref="B50:D50"/>
    <mergeCell ref="B28:G28"/>
    <mergeCell ref="B29:G29"/>
    <mergeCell ref="B41:G41"/>
    <mergeCell ref="A1451:C1451"/>
    <mergeCell ref="B856:C856"/>
    <mergeCell ref="B885:C885"/>
    <mergeCell ref="B894:C894"/>
    <mergeCell ref="B903:C903"/>
    <mergeCell ref="B811:C811"/>
    <mergeCell ref="B1109:C1109"/>
    <mergeCell ref="B1051:C1051"/>
    <mergeCell ref="B948:C948"/>
    <mergeCell ref="B939:C939"/>
    <mergeCell ref="B760:C760"/>
    <mergeCell ref="B1383:C1383"/>
    <mergeCell ref="B1229:C1229"/>
    <mergeCell ref="B1240:C1240"/>
    <mergeCell ref="B789:C789"/>
    <mergeCell ref="B771:C771"/>
    <mergeCell ref="B1251:C1251"/>
    <mergeCell ref="B800:C800"/>
    <mergeCell ref="B968:C968"/>
    <mergeCell ref="B1071:C1071"/>
    <mergeCell ref="B1098:C1098"/>
    <mergeCell ref="F1452:G1452"/>
    <mergeCell ref="F1444:G1444"/>
    <mergeCell ref="B1422:C1422"/>
    <mergeCell ref="F1445:G1445"/>
    <mergeCell ref="A1450:C1450"/>
    <mergeCell ref="F1451:G1451"/>
    <mergeCell ref="A1447:B1447"/>
    <mergeCell ref="B1345:C1345"/>
    <mergeCell ref="B1273:C1273"/>
    <mergeCell ref="B1392:C1392"/>
    <mergeCell ref="B1374:C1374"/>
    <mergeCell ref="B1323:C1323"/>
    <mergeCell ref="B1334:C1334"/>
    <mergeCell ref="B1363:C1363"/>
    <mergeCell ref="B1431:C1431"/>
    <mergeCell ref="A1444:C1444"/>
    <mergeCell ref="F1:G3"/>
    <mergeCell ref="E5:G5"/>
    <mergeCell ref="E6:G6"/>
    <mergeCell ref="E7:G7"/>
    <mergeCell ref="E8:G8"/>
    <mergeCell ref="E9:G9"/>
    <mergeCell ref="A13:G13"/>
    <mergeCell ref="A14:G14"/>
    <mergeCell ref="E10:G10"/>
    <mergeCell ref="D17:F17"/>
    <mergeCell ref="D19:F19"/>
    <mergeCell ref="A18:C18"/>
    <mergeCell ref="D18:E18"/>
    <mergeCell ref="E21:F21"/>
    <mergeCell ref="B35:G35"/>
    <mergeCell ref="B34:G34"/>
    <mergeCell ref="B220:C220"/>
    <mergeCell ref="B278:C278"/>
    <mergeCell ref="B160:C160"/>
    <mergeCell ref="B230:C230"/>
    <mergeCell ref="B94:G94"/>
    <mergeCell ref="B277:C277"/>
    <mergeCell ref="B36:G36"/>
    <mergeCell ref="B57:C57"/>
    <mergeCell ref="B48:C48"/>
    <mergeCell ref="B58:C58"/>
    <mergeCell ref="B49:C49"/>
    <mergeCell ref="B61:C61"/>
    <mergeCell ref="B59:C59"/>
    <mergeCell ref="A92:B92"/>
    <mergeCell ref="B72:C72"/>
    <mergeCell ref="B56:C56"/>
    <mergeCell ref="B66:C66"/>
    <mergeCell ref="B1042:C1042"/>
    <mergeCell ref="B1013:C1013"/>
    <mergeCell ref="B986:C986"/>
    <mergeCell ref="B623:C623"/>
    <mergeCell ref="B634:C634"/>
    <mergeCell ref="B645:C645"/>
    <mergeCell ref="B656:C656"/>
    <mergeCell ref="B833:C833"/>
    <mergeCell ref="B977:C977"/>
    <mergeCell ref="B912:C912"/>
    <mergeCell ref="B686:C686"/>
    <mergeCell ref="B1024:C1024"/>
    <mergeCell ref="B1131:C1131"/>
    <mergeCell ref="B53:C53"/>
    <mergeCell ref="B322:C322"/>
    <mergeCell ref="B64:C64"/>
    <mergeCell ref="B441:C441"/>
    <mergeCell ref="B492:C492"/>
    <mergeCell ref="B368:C368"/>
    <mergeCell ref="B358:C358"/>
    <mergeCell ref="B133:C133"/>
    <mergeCell ref="B206:C206"/>
    <mergeCell ref="B559:C559"/>
    <mergeCell ref="B548:C548"/>
    <mergeCell ref="B579:C579"/>
    <mergeCell ref="B501:C501"/>
    <mergeCell ref="B519:C519"/>
    <mergeCell ref="B386:C386"/>
    <mergeCell ref="B430:C430"/>
    <mergeCell ref="B528:C528"/>
    <mergeCell ref="B612:C612"/>
    <mergeCell ref="B822:C822"/>
    <mergeCell ref="B677:C677"/>
    <mergeCell ref="B733:C733"/>
    <mergeCell ref="B780:C780"/>
    <mergeCell ref="B510:C510"/>
  </mergeCells>
  <pageMargins left="0.21" right="0.15748031496062992" top="0.27" bottom="0.35433070866141736" header="0.31496062992125984" footer="0.39370078740157483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6"/>
  <sheetViews>
    <sheetView zoomScaleNormal="100"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85" t="s">
        <v>99</v>
      </c>
      <c r="L1" s="286"/>
      <c r="M1" s="286"/>
    </row>
    <row r="2" spans="1:13" ht="46.5" customHeight="1">
      <c r="K2" s="286"/>
      <c r="L2" s="286"/>
      <c r="M2" s="286"/>
    </row>
    <row r="3" spans="1:13" ht="15.75">
      <c r="A3" s="204" t="s">
        <v>44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1:13" ht="15.75">
      <c r="A4" s="204" t="s">
        <v>45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13" ht="15.75">
      <c r="A5" s="195" t="s">
        <v>6</v>
      </c>
      <c r="B5" s="7"/>
      <c r="C5" s="1"/>
      <c r="E5" s="288"/>
      <c r="F5" s="288"/>
      <c r="G5" s="288"/>
      <c r="H5" s="288"/>
      <c r="I5" s="288"/>
      <c r="J5" s="288"/>
      <c r="K5" s="288"/>
      <c r="L5" s="288"/>
      <c r="M5" s="288"/>
    </row>
    <row r="6" spans="1:13" ht="15" customHeight="1">
      <c r="A6" s="195"/>
      <c r="B6" s="8" t="s">
        <v>7</v>
      </c>
      <c r="C6" s="1"/>
      <c r="E6" s="202" t="s">
        <v>42</v>
      </c>
      <c r="F6" s="202"/>
      <c r="G6" s="202"/>
      <c r="H6" s="202"/>
      <c r="I6" s="202"/>
      <c r="J6" s="202"/>
      <c r="K6" s="202"/>
      <c r="L6" s="202"/>
      <c r="M6" s="202"/>
    </row>
    <row r="7" spans="1:13" ht="15.75">
      <c r="A7" s="195" t="s">
        <v>8</v>
      </c>
      <c r="B7" s="7"/>
      <c r="C7" s="1"/>
      <c r="E7" s="288"/>
      <c r="F7" s="288"/>
      <c r="G7" s="288"/>
      <c r="H7" s="288"/>
      <c r="I7" s="288"/>
      <c r="J7" s="288"/>
      <c r="K7" s="288"/>
      <c r="L7" s="288"/>
      <c r="M7" s="288"/>
    </row>
    <row r="8" spans="1:13" ht="15" customHeight="1">
      <c r="A8" s="195"/>
      <c r="B8" s="8" t="s">
        <v>7</v>
      </c>
      <c r="C8" s="1"/>
      <c r="E8" s="289" t="s">
        <v>41</v>
      </c>
      <c r="F8" s="289"/>
      <c r="G8" s="289"/>
      <c r="H8" s="289"/>
      <c r="I8" s="289"/>
      <c r="J8" s="289"/>
      <c r="K8" s="289"/>
      <c r="L8" s="289"/>
      <c r="M8" s="289"/>
    </row>
    <row r="9" spans="1:13" ht="15.75">
      <c r="A9" s="195" t="s">
        <v>9</v>
      </c>
      <c r="B9" s="7"/>
      <c r="C9" s="7"/>
      <c r="E9" s="288"/>
      <c r="F9" s="288"/>
      <c r="G9" s="288"/>
      <c r="H9" s="288"/>
      <c r="I9" s="288"/>
      <c r="J9" s="288"/>
      <c r="K9" s="288"/>
      <c r="L9" s="288"/>
      <c r="M9" s="288"/>
    </row>
    <row r="10" spans="1:13" ht="15" customHeight="1">
      <c r="A10" s="195"/>
      <c r="B10" s="9" t="s">
        <v>7</v>
      </c>
      <c r="C10" s="9" t="s">
        <v>10</v>
      </c>
      <c r="E10" s="202" t="s">
        <v>43</v>
      </c>
      <c r="F10" s="202"/>
      <c r="G10" s="202"/>
      <c r="H10" s="202"/>
      <c r="I10" s="202"/>
      <c r="J10" s="202"/>
      <c r="K10" s="202"/>
      <c r="L10" s="202"/>
      <c r="M10" s="202"/>
    </row>
    <row r="11" spans="1:13" ht="15.75">
      <c r="A11" s="195" t="s">
        <v>11</v>
      </c>
      <c r="B11" s="287" t="s">
        <v>46</v>
      </c>
      <c r="C11" s="287"/>
      <c r="D11" s="287"/>
    </row>
    <row r="12" spans="1:13" ht="15.75">
      <c r="A12" s="195"/>
      <c r="B12" s="287" t="s">
        <v>21</v>
      </c>
      <c r="C12" s="287"/>
      <c r="D12" s="287"/>
    </row>
    <row r="13" spans="1:13" ht="15.75">
      <c r="A13" s="4"/>
    </row>
    <row r="14" spans="1:13" ht="15.75">
      <c r="A14" s="4"/>
    </row>
    <row r="16" spans="1:13" ht="15.75">
      <c r="B16" s="196" t="s">
        <v>47</v>
      </c>
      <c r="C16" s="196"/>
      <c r="D16" s="196"/>
      <c r="E16" s="196" t="s">
        <v>48</v>
      </c>
      <c r="F16" s="196"/>
      <c r="G16" s="196"/>
      <c r="H16" s="196" t="s">
        <v>49</v>
      </c>
      <c r="I16" s="196"/>
      <c r="J16" s="196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95" t="s">
        <v>13</v>
      </c>
      <c r="B24" s="198" t="s">
        <v>20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</row>
    <row r="25" spans="1:13" ht="15.75">
      <c r="A25" s="195"/>
      <c r="B25" s="1" t="s">
        <v>21</v>
      </c>
    </row>
    <row r="26" spans="1:13" ht="15.75">
      <c r="A26" s="4"/>
    </row>
    <row r="27" spans="1:13" ht="79.5" customHeight="1">
      <c r="A27" s="196" t="s">
        <v>62</v>
      </c>
      <c r="B27" s="196" t="s">
        <v>61</v>
      </c>
      <c r="C27" s="196" t="s">
        <v>47</v>
      </c>
      <c r="D27" s="196"/>
      <c r="E27" s="196"/>
      <c r="F27" s="196" t="s">
        <v>48</v>
      </c>
      <c r="G27" s="196"/>
      <c r="H27" s="196"/>
      <c r="I27" s="196" t="s">
        <v>49</v>
      </c>
      <c r="J27" s="196"/>
      <c r="K27" s="196"/>
    </row>
    <row r="28" spans="1:13" ht="31.5">
      <c r="A28" s="196"/>
      <c r="B28" s="196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96" t="s">
        <v>53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</row>
    <row r="35" spans="1:13" ht="15.75">
      <c r="A35" s="4"/>
    </row>
    <row r="36" spans="1:13" ht="15.75">
      <c r="A36" s="4"/>
    </row>
    <row r="37" spans="1:13" ht="15.75">
      <c r="A37" s="195" t="s">
        <v>15</v>
      </c>
      <c r="B37" s="198" t="s">
        <v>54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13" ht="15.75">
      <c r="A38" s="195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96" t="s">
        <v>28</v>
      </c>
      <c r="C41" s="196" t="s">
        <v>47</v>
      </c>
      <c r="D41" s="196"/>
      <c r="E41" s="196"/>
      <c r="F41" s="196" t="s">
        <v>48</v>
      </c>
      <c r="G41" s="196"/>
      <c r="H41" s="196"/>
      <c r="I41" s="196" t="s">
        <v>49</v>
      </c>
      <c r="J41" s="196"/>
      <c r="K41" s="196"/>
    </row>
    <row r="42" spans="1:13" ht="41.25" customHeight="1">
      <c r="B42" s="196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96" t="s">
        <v>53</v>
      </c>
      <c r="C47" s="196"/>
      <c r="D47" s="196"/>
      <c r="E47" s="196"/>
      <c r="F47" s="196"/>
      <c r="G47" s="196"/>
      <c r="H47" s="196"/>
      <c r="I47" s="196"/>
      <c r="J47" s="196"/>
      <c r="K47" s="196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98" t="s">
        <v>55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</row>
    <row r="51" spans="1:13" ht="15.75">
      <c r="A51" s="4"/>
    </row>
    <row r="52" spans="1:13" ht="15.75">
      <c r="A52" s="4"/>
    </row>
    <row r="53" spans="1:13" ht="31.5" customHeight="1">
      <c r="A53" s="196" t="s">
        <v>63</v>
      </c>
      <c r="B53" s="196" t="s">
        <v>56</v>
      </c>
      <c r="C53" s="196" t="s">
        <v>32</v>
      </c>
      <c r="D53" s="196" t="s">
        <v>33</v>
      </c>
      <c r="E53" s="196" t="s">
        <v>47</v>
      </c>
      <c r="F53" s="196"/>
      <c r="G53" s="196"/>
      <c r="H53" s="196" t="s">
        <v>57</v>
      </c>
      <c r="I53" s="196"/>
      <c r="J53" s="196"/>
      <c r="K53" s="196" t="s">
        <v>49</v>
      </c>
      <c r="L53" s="196"/>
      <c r="M53" s="196"/>
    </row>
    <row r="54" spans="1:13" ht="15.75" customHeight="1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</row>
    <row r="55" spans="1:13" ht="31.5">
      <c r="A55" s="196"/>
      <c r="B55" s="196"/>
      <c r="C55" s="196"/>
      <c r="D55" s="196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96" t="s">
        <v>59</v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96" t="s">
        <v>59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96" t="s">
        <v>59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96" t="s">
        <v>59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</row>
    <row r="69" spans="1:13" ht="15.75">
      <c r="A69" s="196" t="s">
        <v>60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</row>
    <row r="70" spans="1:13" ht="15.75">
      <c r="A70" s="4"/>
    </row>
    <row r="71" spans="1:13" ht="15.75">
      <c r="A71" s="4"/>
    </row>
    <row r="72" spans="1:13" ht="15.75">
      <c r="A72" s="198" t="s">
        <v>64</v>
      </c>
      <c r="B72" s="198"/>
      <c r="C72" s="198"/>
      <c r="D72" s="198"/>
      <c r="E72" s="198"/>
      <c r="F72" s="198"/>
      <c r="G72" s="198"/>
      <c r="H72" s="16"/>
      <c r="J72" s="284"/>
      <c r="K72" s="284"/>
      <c r="L72" s="284"/>
      <c r="M72" s="284"/>
    </row>
    <row r="73" spans="1:13" ht="15.75">
      <c r="A73" s="1"/>
      <c r="B73" s="3"/>
      <c r="C73" s="3"/>
      <c r="D73" s="1"/>
      <c r="H73" s="15" t="s">
        <v>38</v>
      </c>
      <c r="J73" s="200" t="s">
        <v>39</v>
      </c>
      <c r="K73" s="200"/>
      <c r="L73" s="200"/>
      <c r="M73" s="200"/>
    </row>
    <row r="74" spans="1:13" ht="15" customHeight="1">
      <c r="A74" s="2"/>
      <c r="D74" s="1"/>
    </row>
    <row r="75" spans="1:13" ht="15.75">
      <c r="A75" s="198" t="s">
        <v>65</v>
      </c>
      <c r="B75" s="198"/>
      <c r="C75" s="198"/>
      <c r="D75" s="198"/>
      <c r="E75" s="198"/>
      <c r="F75" s="198"/>
      <c r="G75" s="198"/>
      <c r="H75" s="16"/>
      <c r="J75" s="284"/>
      <c r="K75" s="284"/>
      <c r="L75" s="284"/>
      <c r="M75" s="284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00" t="s">
        <v>39</v>
      </c>
      <c r="K76" s="200"/>
      <c r="L76" s="200"/>
      <c r="M76" s="200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75"/>
  <sheetViews>
    <sheetView zoomScaleNormal="100"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205" t="s">
        <v>97</v>
      </c>
      <c r="K1" s="205"/>
      <c r="L1" s="205"/>
      <c r="M1" s="205"/>
    </row>
    <row r="2" spans="1:13">
      <c r="J2" s="205"/>
      <c r="K2" s="205"/>
      <c r="L2" s="205"/>
      <c r="M2" s="205"/>
    </row>
    <row r="3" spans="1:13">
      <c r="J3" s="205"/>
      <c r="K3" s="205"/>
      <c r="L3" s="205"/>
      <c r="M3" s="205"/>
    </row>
    <row r="4" spans="1:13">
      <c r="J4" s="205"/>
      <c r="K4" s="205"/>
      <c r="L4" s="205"/>
      <c r="M4" s="205"/>
    </row>
    <row r="5" spans="1:13">
      <c r="A5" s="204" t="s">
        <v>44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3">
      <c r="A6" s="204" t="s">
        <v>79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</row>
    <row r="7" spans="1:13">
      <c r="A7" s="195" t="s">
        <v>6</v>
      </c>
      <c r="B7" s="20"/>
      <c r="C7" s="17"/>
      <c r="E7" s="295"/>
      <c r="F7" s="295"/>
      <c r="G7" s="295"/>
      <c r="H7" s="295"/>
      <c r="I7" s="295"/>
      <c r="J7" s="295"/>
      <c r="K7" s="295"/>
      <c r="L7" s="295"/>
      <c r="M7" s="295"/>
    </row>
    <row r="8" spans="1:13" ht="15" customHeight="1">
      <c r="A8" s="195"/>
      <c r="B8" s="31" t="s">
        <v>66</v>
      </c>
      <c r="C8" s="33"/>
      <c r="D8" s="34"/>
      <c r="E8" s="202" t="s">
        <v>42</v>
      </c>
      <c r="F8" s="202"/>
      <c r="G8" s="202"/>
      <c r="H8" s="202"/>
      <c r="I8" s="202"/>
      <c r="J8" s="202"/>
      <c r="K8" s="202"/>
      <c r="L8" s="202"/>
      <c r="M8" s="202"/>
    </row>
    <row r="9" spans="1:13">
      <c r="A9" s="195" t="s">
        <v>8</v>
      </c>
      <c r="B9" s="20"/>
      <c r="C9" s="17"/>
      <c r="E9" s="295"/>
      <c r="F9" s="295"/>
      <c r="G9" s="295"/>
      <c r="H9" s="295"/>
      <c r="I9" s="295"/>
      <c r="J9" s="295"/>
      <c r="K9" s="295"/>
      <c r="L9" s="295"/>
      <c r="M9" s="295"/>
    </row>
    <row r="10" spans="1:13" ht="15" customHeight="1">
      <c r="A10" s="195"/>
      <c r="B10" s="31" t="s">
        <v>66</v>
      </c>
      <c r="C10" s="33"/>
      <c r="D10" s="34"/>
      <c r="E10" s="289" t="s">
        <v>41</v>
      </c>
      <c r="F10" s="289"/>
      <c r="G10" s="289"/>
      <c r="H10" s="289"/>
      <c r="I10" s="289"/>
      <c r="J10" s="289"/>
      <c r="K10" s="289"/>
      <c r="L10" s="289"/>
      <c r="M10" s="289"/>
    </row>
    <row r="11" spans="1:13">
      <c r="A11" s="195" t="s">
        <v>9</v>
      </c>
      <c r="B11" s="20"/>
      <c r="C11" s="20"/>
      <c r="E11" s="295"/>
      <c r="F11" s="295"/>
      <c r="G11" s="295"/>
      <c r="H11" s="295"/>
      <c r="I11" s="295"/>
      <c r="J11" s="295"/>
      <c r="K11" s="295"/>
      <c r="L11" s="295"/>
      <c r="M11" s="295"/>
    </row>
    <row r="12" spans="1:13" ht="15" customHeight="1">
      <c r="A12" s="195"/>
      <c r="B12" s="31" t="s">
        <v>66</v>
      </c>
      <c r="C12" s="9" t="s">
        <v>10</v>
      </c>
      <c r="D12" s="34"/>
      <c r="E12" s="202" t="s">
        <v>43</v>
      </c>
      <c r="F12" s="202"/>
      <c r="G12" s="202"/>
      <c r="H12" s="202"/>
      <c r="I12" s="202"/>
      <c r="J12" s="202"/>
      <c r="K12" s="202"/>
      <c r="L12" s="202"/>
      <c r="M12" s="202"/>
    </row>
    <row r="13" spans="1:13" ht="19.5" customHeight="1">
      <c r="A13" s="287" t="s">
        <v>80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</row>
    <row r="14" spans="1:13">
      <c r="A14" s="4"/>
    </row>
    <row r="15" spans="1:13" ht="31.5">
      <c r="A15" s="19" t="s">
        <v>62</v>
      </c>
      <c r="B15" s="196" t="s">
        <v>68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</row>
    <row r="16" spans="1:13">
      <c r="A16" s="19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</row>
    <row r="17" spans="1:26">
      <c r="A17" s="19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96" t="s">
        <v>18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26">
      <c r="A24" s="19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26">
      <c r="A25" s="19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96" t="s">
        <v>62</v>
      </c>
      <c r="B30" s="196" t="s">
        <v>84</v>
      </c>
      <c r="C30" s="196"/>
      <c r="D30" s="196"/>
      <c r="E30" s="196" t="s">
        <v>47</v>
      </c>
      <c r="F30" s="196"/>
      <c r="G30" s="196"/>
      <c r="H30" s="196" t="s">
        <v>85</v>
      </c>
      <c r="I30" s="196"/>
      <c r="J30" s="196"/>
      <c r="K30" s="196" t="s">
        <v>49</v>
      </c>
      <c r="L30" s="196"/>
      <c r="M30" s="196"/>
      <c r="R30" s="294"/>
      <c r="S30" s="294"/>
      <c r="T30" s="294"/>
      <c r="U30" s="294"/>
      <c r="V30" s="294"/>
      <c r="W30" s="294"/>
      <c r="X30" s="294"/>
      <c r="Y30" s="294"/>
      <c r="Z30" s="294"/>
    </row>
    <row r="31" spans="1:26" ht="33" customHeight="1">
      <c r="A31" s="196"/>
      <c r="B31" s="196"/>
      <c r="C31" s="196"/>
      <c r="D31" s="196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96">
        <v>2</v>
      </c>
      <c r="C32" s="196"/>
      <c r="D32" s="196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96" t="s">
        <v>25</v>
      </c>
      <c r="C33" s="196"/>
      <c r="D33" s="196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96"/>
      <c r="C34" s="196"/>
      <c r="D34" s="196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92" t="s">
        <v>86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</row>
    <row r="36" spans="1:26">
      <c r="A36" s="4"/>
    </row>
    <row r="37" spans="1:26" ht="33" customHeight="1">
      <c r="A37" s="198" t="s">
        <v>87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26">
      <c r="K38" s="17" t="s">
        <v>71</v>
      </c>
    </row>
    <row r="39" spans="1:26">
      <c r="A39" s="4"/>
    </row>
    <row r="40" spans="1:26" ht="31.5" customHeight="1">
      <c r="A40" s="196" t="s">
        <v>17</v>
      </c>
      <c r="B40" s="196" t="s">
        <v>88</v>
      </c>
      <c r="C40" s="196"/>
      <c r="D40" s="196"/>
      <c r="E40" s="196" t="s">
        <v>47</v>
      </c>
      <c r="F40" s="196"/>
      <c r="G40" s="196"/>
      <c r="H40" s="196" t="s">
        <v>85</v>
      </c>
      <c r="I40" s="196"/>
      <c r="J40" s="196"/>
      <c r="K40" s="196" t="s">
        <v>49</v>
      </c>
      <c r="L40" s="196"/>
      <c r="M40" s="196"/>
    </row>
    <row r="41" spans="1:26" ht="33.75" customHeight="1">
      <c r="A41" s="196"/>
      <c r="B41" s="196"/>
      <c r="C41" s="196"/>
      <c r="D41" s="196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96">
        <v>2</v>
      </c>
      <c r="C42" s="196"/>
      <c r="D42" s="196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96"/>
      <c r="C43" s="196"/>
      <c r="D43" s="196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96" t="s">
        <v>17</v>
      </c>
      <c r="B47" s="196" t="s">
        <v>56</v>
      </c>
      <c r="C47" s="196" t="s">
        <v>32</v>
      </c>
      <c r="D47" s="196" t="s">
        <v>33</v>
      </c>
      <c r="E47" s="196" t="s">
        <v>47</v>
      </c>
      <c r="F47" s="196"/>
      <c r="G47" s="196"/>
      <c r="H47" s="196" t="s">
        <v>90</v>
      </c>
      <c r="I47" s="196"/>
      <c r="J47" s="196"/>
      <c r="K47" s="196" t="s">
        <v>49</v>
      </c>
      <c r="L47" s="196"/>
      <c r="M47" s="196"/>
    </row>
    <row r="48" spans="1:26" ht="30.75" customHeight="1">
      <c r="A48" s="196"/>
      <c r="B48" s="196"/>
      <c r="C48" s="196"/>
      <c r="D48" s="196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96" t="s">
        <v>91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96" t="s">
        <v>91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96" t="s">
        <v>91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96" t="s">
        <v>91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</row>
    <row r="66" spans="1:13">
      <c r="A66" s="196" t="s">
        <v>60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87" t="s">
        <v>93</v>
      </c>
      <c r="B69" s="287"/>
      <c r="C69" s="287"/>
      <c r="D69" s="287"/>
    </row>
    <row r="70" spans="1:13" ht="19.5" customHeight="1">
      <c r="A70" s="29" t="s">
        <v>94</v>
      </c>
      <c r="B70" s="29"/>
      <c r="C70" s="29"/>
      <c r="D70" s="29"/>
    </row>
    <row r="71" spans="1:13">
      <c r="A71" s="197" t="s">
        <v>96</v>
      </c>
      <c r="B71" s="197"/>
      <c r="C71" s="197"/>
      <c r="D71" s="197"/>
      <c r="E71" s="197"/>
    </row>
    <row r="72" spans="1:13">
      <c r="A72" s="197"/>
      <c r="B72" s="197"/>
      <c r="C72" s="197"/>
      <c r="D72" s="197"/>
      <c r="E72" s="197"/>
      <c r="G72" s="290"/>
      <c r="H72" s="290"/>
      <c r="J72" s="290"/>
      <c r="K72" s="290"/>
      <c r="L72" s="290"/>
      <c r="M72" s="290"/>
    </row>
    <row r="73" spans="1:13" ht="15.75" customHeight="1">
      <c r="A73" s="30"/>
      <c r="B73" s="30"/>
      <c r="C73" s="30"/>
      <c r="D73" s="30"/>
      <c r="E73" s="30"/>
      <c r="G73" s="291" t="s">
        <v>38</v>
      </c>
      <c r="H73" s="291"/>
      <c r="J73" s="289" t="s">
        <v>78</v>
      </c>
      <c r="K73" s="289"/>
      <c r="L73" s="289"/>
      <c r="M73" s="289"/>
    </row>
    <row r="74" spans="1:13" ht="43.5" customHeight="1">
      <c r="A74" s="197" t="s">
        <v>95</v>
      </c>
      <c r="B74" s="197"/>
      <c r="C74" s="197"/>
      <c r="D74" s="197"/>
      <c r="E74" s="197"/>
      <c r="G74" s="290"/>
      <c r="H74" s="290"/>
      <c r="J74" s="290"/>
      <c r="K74" s="290"/>
      <c r="L74" s="290"/>
      <c r="M74" s="290"/>
    </row>
    <row r="75" spans="1:13" ht="15.75" customHeight="1">
      <c r="A75" s="197"/>
      <c r="B75" s="197"/>
      <c r="C75" s="197"/>
      <c r="D75" s="197"/>
      <c r="E75" s="197"/>
      <c r="G75" s="291" t="s">
        <v>38</v>
      </c>
      <c r="H75" s="291"/>
      <c r="J75" s="289" t="s">
        <v>78</v>
      </c>
      <c r="K75" s="289"/>
      <c r="L75" s="289"/>
      <c r="M75" s="289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5:C11"/>
  <sheetViews>
    <sheetView workbookViewId="0">
      <selection activeCell="B5" sqref="B5:C11"/>
    </sheetView>
  </sheetViews>
  <sheetFormatPr defaultRowHeight="15"/>
  <cols>
    <col min="2" max="2" width="7.25" customWidth="1"/>
    <col min="3" max="3" width="20" customWidth="1"/>
  </cols>
  <sheetData>
    <row r="5" spans="2:3" ht="15.75">
      <c r="B5" s="142">
        <v>1</v>
      </c>
      <c r="C5" s="88" t="s">
        <v>34</v>
      </c>
    </row>
    <row r="6" spans="2:3" ht="15.75">
      <c r="B6" s="142"/>
      <c r="C6" s="85"/>
    </row>
    <row r="7" spans="2:3" ht="15.75">
      <c r="B7" s="142">
        <v>2</v>
      </c>
      <c r="C7" s="88" t="s">
        <v>35</v>
      </c>
    </row>
    <row r="8" spans="2:3" ht="15.75">
      <c r="B8" s="142"/>
      <c r="C8" s="88"/>
    </row>
    <row r="9" spans="2:3" ht="15.75">
      <c r="B9" s="142">
        <v>3</v>
      </c>
      <c r="C9" s="88" t="s">
        <v>36</v>
      </c>
    </row>
    <row r="10" spans="2:3" ht="15.75">
      <c r="B10" s="142"/>
      <c r="C10" s="85"/>
    </row>
    <row r="11" spans="2:3" ht="15.75">
      <c r="B11" s="142">
        <v>4</v>
      </c>
      <c r="C11" s="88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паспорт до 01.01.2020</vt:lpstr>
      <vt:lpstr>паспорт добре</vt:lpstr>
      <vt:lpstr>звіт до 01.01.2020</vt:lpstr>
      <vt:lpstr>звіт з 01.01.2020</vt:lpstr>
      <vt:lpstr>Лист1</vt:lpstr>
      <vt:lpstr>'звіт з 01.01.2020'!Область_печати</vt:lpstr>
      <vt:lpstr>'паспорт добре'!Область_печати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2021-04-28T08:10:32Z</cp:lastPrinted>
  <dcterms:created xsi:type="dcterms:W3CDTF">2018-12-28T08:43:53Z</dcterms:created>
  <dcterms:modified xsi:type="dcterms:W3CDTF">2021-04-28T10:15:43Z</dcterms:modified>
</cp:coreProperties>
</file>