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81" firstSheet="3" activeTab="3"/>
  </bookViews>
  <sheets>
    <sheet name="План 01.01.2018" sheetId="1" state="hidden" r:id="rId1"/>
    <sheet name="Зміни до плану 01.01.2018" sheetId="2" state="hidden" r:id="rId2"/>
    <sheet name="Лист1" sheetId="3" state="hidden" r:id="rId3"/>
    <sheet name="Фін.план 2019 (зміни4)" sheetId="4" r:id="rId4"/>
    <sheet name="Покодово 2019" sheetId="5" state="hidden" r:id="rId5"/>
    <sheet name="Помісячно" sheetId="6" state="hidden" r:id="rId6"/>
    <sheet name="Лист2" sheetId="7" state="hidden" r:id="rId7"/>
    <sheet name="Фін.план (без енергонос.) 2018" sheetId="8" state="hidden" r:id="rId8"/>
    <sheet name="Фін.план" sheetId="9" state="hidden" r:id="rId9"/>
    <sheet name="Енергоносії" sheetId="10" state="hidden" r:id="rId10"/>
    <sheet name="розрах. медінструм." sheetId="11" state="hidden" r:id="rId11"/>
    <sheet name="Розр. до пояснення 2018" sheetId="12" state="hidden" r:id="rId12"/>
    <sheet name="Розрахунки 01.07.2018" sheetId="13" state="hidden" r:id="rId13"/>
  </sheets>
  <definedNames/>
  <calcPr fullCalcOnLoad="1"/>
</workbook>
</file>

<file path=xl/sharedStrings.xml><?xml version="1.0" encoding="utf-8"?>
<sst xmlns="http://schemas.openxmlformats.org/spreadsheetml/2006/main" count="2438" uniqueCount="905">
  <si>
    <t> Так</t>
  </si>
  <si>
    <t>UA-P-2018-01-16-004178-a </t>
  </si>
  <si>
    <t>Перегляд на порталі</t>
  </si>
  <si>
    <t>Бензин (Бензин А-92) ...</t>
  </si>
  <si>
    <t>198 000,00 UAH</t>
  </si>
  <si>
    <t>січень 2018</t>
  </si>
  <si>
    <t>09132000-3 Бензин</t>
  </si>
  <si>
    <t>2282 Окремі заходи по реалізації державних (регіональних) програм, не віднесені до заходів розвитку </t>
  </si>
  <si>
    <t>Без застосування електронної системи</t>
  </si>
  <si>
    <t>UA-P-2018-01-16-004177-a </t>
  </si>
  <si>
    <t>Фармацевтична продукція, Антисептичні та дезінфекційні засоби, Наркотичні середн ...</t>
  </si>
  <si>
    <t>60 000,00 UAH</t>
  </si>
  <si>
    <t>33600000-6 Фармацевтична продукція</t>
  </si>
  <si>
    <t>UA-P-2018-01-16-004170-a </t>
  </si>
  <si>
    <t>Знаряддя, замки, ключі та петлі, кріпильні деталі, ланцюги, пружини (молотки, кл ...</t>
  </si>
  <si>
    <t>3 000,00 UAH</t>
  </si>
  <si>
    <t>44500000-5 Знаряддя, замки, ключі, петлі, кріпильні деталі, ланцюги та пружини</t>
  </si>
  <si>
    <t>UA-P-2018-01-16-004167-a </t>
  </si>
  <si>
    <t>Друкована продукція різна (Плівка одноканальна пишуча не чорнильна) ...</t>
  </si>
  <si>
    <t>1 000,00 UAH</t>
  </si>
  <si>
    <t>22900000-9 Друкована продукція різна</t>
  </si>
  <si>
    <t>UA-P-2018-01-16-004165-a </t>
  </si>
  <si>
    <t>Конструкційні матеріали та супутні вироби (Цемент, труби та арматура, цвяхи, фар ...</t>
  </si>
  <si>
    <t>10 000,00 UAH</t>
  </si>
  <si>
    <t>44100000-1 Конструкційні матеріали та супутні вироби</t>
  </si>
  <si>
    <t>UA-P-2018-01-16-004164-a </t>
  </si>
  <si>
    <t>Вапно ...</t>
  </si>
  <si>
    <t>500,00 UAH</t>
  </si>
  <si>
    <t>44921200-4 Вапно</t>
  </si>
  <si>
    <t>UA-P-2018-01-16-004154-a </t>
  </si>
  <si>
    <t>Поліетиленові мішки та пакети для сміття ...</t>
  </si>
  <si>
    <t>19640000-4 Поліетиленові мішки та пакети для сміття</t>
  </si>
  <si>
    <t>UA-P-2018-01-16-004188-a </t>
  </si>
  <si>
    <t>Ізольовані дроти та кабелі ...</t>
  </si>
  <si>
    <t>31300000-9 Ізольовані дроти та кабелі</t>
  </si>
  <si>
    <t>UA-P-2018-01-16-004185-a </t>
  </si>
  <si>
    <t>Вироби для ванної кімнати та кухні ...</t>
  </si>
  <si>
    <t>2 000,00 UAH</t>
  </si>
  <si>
    <t>44410000-7 Вироби для ванної кімнати та кухні</t>
  </si>
  <si>
    <t>UA-P-2018-01-16-004184-a </t>
  </si>
  <si>
    <t>Охоронні послуги (Послуги з моніторингу сигналів тривоги, що надходять з пристро ...</t>
  </si>
  <si>
    <t>11 700,00 UAH</t>
  </si>
  <si>
    <t>79710000-4 Охоронні послуги</t>
  </si>
  <si>
    <t>UA-P-2018-01-16-004175-a </t>
  </si>
  <si>
    <t>Паперові чи картонні реєстраційні журнали, бухгалтерські книги, швидкозшивачі, б ...</t>
  </si>
  <si>
    <t>20 000,00 UAH</t>
  </si>
  <si>
    <t>22800000-8 Паперові чи картонні реєстраційні журнали, бухгалтерські книги, швидкозшивачі, бланки та інші паперові канцелярські вироби</t>
  </si>
  <si>
    <t>UA-P-2018-01-16-004174-a </t>
  </si>
  <si>
    <t>Освітлювальне обладнання та електричні лампи ...</t>
  </si>
  <si>
    <t>31500000-1 Освітлювальне обладнання та електричні лампи</t>
  </si>
  <si>
    <t>UA-P-2018-01-16-004172-a </t>
  </si>
  <si>
    <t>Електророзподільна та контрольна апаратура ...</t>
  </si>
  <si>
    <t>31200000-8 Електророзподільна та контрольна апаратура</t>
  </si>
  <si>
    <t>UA-P-2018-01-16-004171-a </t>
  </si>
  <si>
    <t>Туалетний папір, носові хустинки, рушники для рук і серветки ...</t>
  </si>
  <si>
    <t>33760000-5 Туалетний папір, носові хустинки, рушники для рук і серветки</t>
  </si>
  <si>
    <t>UA-P-2018-01-16-004169-a </t>
  </si>
  <si>
    <t>Комп’ютерне обладнання та приладдя ...</t>
  </si>
  <si>
    <t>5 000,00 UAH</t>
  </si>
  <si>
    <t>30200000-1 Комп’ютерне обладнання та приладдя</t>
  </si>
  <si>
    <t>UA-P-2018-01-16-004168-a </t>
  </si>
  <si>
    <t>Пара, гаряча вода та пов’язана продукція ...</t>
  </si>
  <si>
    <t>368 347,00 UAH</t>
  </si>
  <si>
    <t>09320000-8 Пара, гаряча вода та пов’язана продукція</t>
  </si>
  <si>
    <t>2271 Оплата теплопостачання </t>
  </si>
  <si>
    <t>Переговорна процедура (скорочена)</t>
  </si>
  <si>
    <t>UA-P-2018-01-16-004166-a </t>
  </si>
  <si>
    <t>Офісні техніка, устаткування та приладдя, крім комп’ютерів, принтерів та меблів ...</t>
  </si>
  <si>
    <t>30100000-0 Офісні техніка, устаткування та приладдя, крім комп’ютерів, принтерів та меблів</t>
  </si>
  <si>
    <t>UA-P-2018-01-16-004160-a </t>
  </si>
  <si>
    <t>Текстильні вироби (Ковдри, подушки, лікарняна білизна) ...</t>
  </si>
  <si>
    <t>7 126,00 UAH</t>
  </si>
  <si>
    <t>39500000-7 Текстильні вироби</t>
  </si>
  <si>
    <t>UA-P-2018-01-16-004157-a </t>
  </si>
  <si>
    <t>Мастильні засоби (Масло) ...</t>
  </si>
  <si>
    <t>09210000-4 Мастильні засоби</t>
  </si>
  <si>
    <t>UA-P-2018-01-16-004155-a </t>
  </si>
  <si>
    <t>Утилізація сміття та поводження зі сміттям (Вивіз сміття) ...</t>
  </si>
  <si>
    <t>6 000,00 UAH</t>
  </si>
  <si>
    <t>90510000-5 Утилізація сміття та поводження зі сміттям</t>
  </si>
  <si>
    <t>UA-P-2018-01-16-004153-a </t>
  </si>
  <si>
    <t>Пластмасові вироби (Відра пластмасові, совки, пластмасові ємкості) ...</t>
  </si>
  <si>
    <t>19520000-7 Пластмасові вироби</t>
  </si>
  <si>
    <t>UA-P-2018-01-16-004189-a </t>
  </si>
  <si>
    <t>Послуги з ремонту і технічного обслуговування автомобілів ...</t>
  </si>
  <si>
    <t>50112000-3 Послуги з ремонту і технічного обслуговування автомобілів</t>
  </si>
  <si>
    <t>UA-P-2018-01-16-004187-a </t>
  </si>
  <si>
    <t>Мітли, щітки та інше господарське приладдя ...</t>
  </si>
  <si>
    <t>39224000-8 Мітли, щітки та інше господарське приладдя</t>
  </si>
  <si>
    <t>UA-P-2018-01-16-004186-a </t>
  </si>
  <si>
    <t>Послуги телефонного зв’язку та передачі даних (послуги за телефон та інтернет) ...</t>
  </si>
  <si>
    <t>64210000-1 Послуги телефонного зв’язку та передачі даних</t>
  </si>
  <si>
    <t>UA-P-2018-01-16-004183-a </t>
  </si>
  <si>
    <t>Бланки (Рецептурні бланки ф. №3) ...</t>
  </si>
  <si>
    <t>22820000-4 Бланки</t>
  </si>
  <si>
    <t>UA-P-2018-01-16-004182-a </t>
  </si>
  <si>
    <t>Очищення стічних вод ...</t>
  </si>
  <si>
    <t>4 214,00 UAH</t>
  </si>
  <si>
    <t>45232421-9 Очищення стічних вод</t>
  </si>
  <si>
    <t>2272 Оплата водопостачання та водовідведення </t>
  </si>
  <si>
    <t>UA-P-2018-01-16-004181-a </t>
  </si>
  <si>
    <t>Фарби, лаки, друкарська фарба та мастики (Фарби для вікон, підлоги та розчинники ...</t>
  </si>
  <si>
    <t>44800000-8 Фарби, лаки, друкарська фарба та мастики</t>
  </si>
  <si>
    <t>UA-P-2018-01-16-004180-a </t>
  </si>
  <si>
    <t>Продукція для чищення та полірування ...</t>
  </si>
  <si>
    <t>39800000-0 Продукція для чищення та полірування</t>
  </si>
  <si>
    <t>UA-P-2018-01-16-004179-a </t>
  </si>
  <si>
    <t>Спеціальний одяг та аксесуари (Одноразові рукавички) ...</t>
  </si>
  <si>
    <t>4 000,00 UAH</t>
  </si>
  <si>
    <t>18400000-3 Спеціальний одяг та аксесуари</t>
  </si>
  <si>
    <t>UA-P-2018-01-16-004176-a </t>
  </si>
  <si>
    <t>Технічне обслуговування і ремонт офісної техніки ...</t>
  </si>
  <si>
    <t>5 592,00 UAH</t>
  </si>
  <si>
    <t>50310000-1 Технічне обслуговування і ремонт офісної техніки</t>
  </si>
  <si>
    <t>UA-P-2018-01-16-004173-a </t>
  </si>
  <si>
    <t>Вогнегасники ...</t>
  </si>
  <si>
    <t>35111300-8 Вогнегасники</t>
  </si>
  <si>
    <t>UA-P-2018-01-16-004163-a </t>
  </si>
  <si>
    <t>Медичне обладнання (Шприци, перев'язувальний матеріал, меблі медичного значення, ...</t>
  </si>
  <si>
    <t>68 000,00 UAH</t>
  </si>
  <si>
    <t>33100000-1 Медичне обладнання</t>
  </si>
  <si>
    <t>UA-P-2018-01-16-004162-a </t>
  </si>
  <si>
    <t>Питна вода (Водопостачання) ...</t>
  </si>
  <si>
    <t>6 586,00 UAH</t>
  </si>
  <si>
    <t>41110000-3 Питна вода</t>
  </si>
  <si>
    <t>UA-P-2018-01-16-004159-a </t>
  </si>
  <si>
    <t>Меблі ...</t>
  </si>
  <si>
    <t>30 000,00 UAH</t>
  </si>
  <si>
    <t>39100000-3 Меблі</t>
  </si>
  <si>
    <t>UA-P-2018-01-16-004158-a </t>
  </si>
  <si>
    <t>Частини та приладдя до транспортних засобів і їх двигунів ...</t>
  </si>
  <si>
    <t>34300000-0 Частини та приладдя до транспортних засобів і їх двигунів</t>
  </si>
  <si>
    <t>UA-P-2018-01-16-004156-a </t>
  </si>
  <si>
    <t>Електрична енергія ...</t>
  </si>
  <si>
    <t>820 000,00 UAH</t>
  </si>
  <si>
    <t>09310000-5 Електрична енергія</t>
  </si>
  <si>
    <t>2273 Оплата електроенергії </t>
  </si>
  <si>
    <t>Конкретна Назва предмета закупівлі, обов'язкове</t>
  </si>
  <si>
    <r>
      <rPr>
        <b/>
        <u val="single"/>
        <sz val="5.5"/>
        <rFont val="Times New Roman"/>
        <family val="1"/>
      </rPr>
      <t>Валюта:</t>
    </r>
    <r>
      <rPr>
        <b/>
        <sz val="5.5"/>
        <rFont val="Times New Roman"/>
        <family val="1"/>
      </rPr>
      <t xml:space="preserve"> грн, євро, американьский долар, англ. фунт стерлінгів, російський рубль</t>
    </r>
  </si>
  <si>
    <t>Очікувана вартість предмета закупівлі</t>
  </si>
  <si>
    <t>Примітки електронний номер плану</t>
  </si>
  <si>
    <t>Рік</t>
  </si>
  <si>
    <r>
      <rPr>
        <b/>
        <u val="single"/>
        <sz val="5.5"/>
        <rFont val="Times New Roman"/>
        <family val="1"/>
      </rPr>
      <t>Тип процедур:</t>
    </r>
    <r>
      <rPr>
        <b/>
        <sz val="5.5"/>
        <rFont val="Times New Roman"/>
        <family val="1"/>
      </rPr>
      <t xml:space="preserve"> допорогова закупівля, відкриті торги, відкриті торги з публікацією англ.мовою, переговорна процедура, переговорна процедура для потреб оборони</t>
    </r>
  </si>
  <si>
    <t>Орієнтовний початок проведення процедури закупівлі, обов'язкове</t>
  </si>
  <si>
    <t>Класифікатор  ДК 021:2015, обов'язкове</t>
  </si>
  <si>
    <t>У разі використання ДК 021:2015 99999999-9
оберіть один з класифікаторів ДК003, ДК015, ДК018
Необов'язкове поле</t>
  </si>
  <si>
    <t>Код КЕКВ (в разі використання бюджетних коштів) </t>
  </si>
  <si>
    <t>грн</t>
  </si>
  <si>
    <t>без застосування електронної системи</t>
  </si>
  <si>
    <t>ЗМІНИ ВІД 03.05.2018</t>
  </si>
  <si>
    <t>98310000-9</t>
  </si>
  <si>
    <t>90510000-5</t>
  </si>
  <si>
    <t>Утилізація сміття та поводження зі сміттям (Вивіз сміття)</t>
  </si>
  <si>
    <t>50310000-1</t>
  </si>
  <si>
    <t>Технічне обслуговування і ремонт офісної техніки</t>
  </si>
  <si>
    <t>48170000-0</t>
  </si>
  <si>
    <t>Пакети програмного забезпечення для контролю відповідності</t>
  </si>
  <si>
    <t>Послуги з прання і сухого чищення (Прання білизни)</t>
  </si>
  <si>
    <t>39100000-3</t>
  </si>
  <si>
    <t>Меблі</t>
  </si>
  <si>
    <t>09210000-4</t>
  </si>
  <si>
    <t>Мастильні засоби</t>
  </si>
  <si>
    <t>Масло</t>
  </si>
  <si>
    <t>2210 "Предмети, матеріали, обладнання та інвентар, у т. ч. м'який інвентар та обмурдирування" на 2018 рік</t>
  </si>
  <si>
    <t>09132000-3</t>
  </si>
  <si>
    <t>Бензин</t>
  </si>
  <si>
    <t>Бензин А-92</t>
  </si>
  <si>
    <t>19520000-7</t>
  </si>
  <si>
    <t>Пластмасові вироби</t>
  </si>
  <si>
    <t>Відра пластмасові, совки, пластмасові ємкості</t>
  </si>
  <si>
    <t>19640000-4</t>
  </si>
  <si>
    <t>Поліетиленові мішки та пакети для сміття</t>
  </si>
  <si>
    <t>Пакети для сміття</t>
  </si>
  <si>
    <t>22800000-8</t>
  </si>
  <si>
    <t>Паперові чи картонні реєстраційні журнали, бухгалтерські книги, швидкозшивачі, бланки та інші паперові канцелярські вироби</t>
  </si>
  <si>
    <t>30100000-0</t>
  </si>
  <si>
    <t>Офісні техніка, устаткування та приладдя, крім комп’ютерів, принтерів та меблів</t>
  </si>
  <si>
    <t>Папір ксероксний, офісне приладдя, дрібне канцелярське приладдя</t>
  </si>
  <si>
    <t>30200000-1</t>
  </si>
  <si>
    <t>Комп’ютерне обладнання та приладдя</t>
  </si>
  <si>
    <t>31200000-8</t>
  </si>
  <si>
    <t>Електророзподільна та контрольна апаратура</t>
  </si>
  <si>
    <t>31300000-9</t>
  </si>
  <si>
    <t>Ізольовані дроти та кабелі</t>
  </si>
  <si>
    <t>31500000-1</t>
  </si>
  <si>
    <t>Освітлювальне обладнання та електричні лампи</t>
  </si>
  <si>
    <t>33760000-5</t>
  </si>
  <si>
    <t>Туалетний папір, носові хустинки, рушники для рук і серветки</t>
  </si>
  <si>
    <t>34300000-0</t>
  </si>
  <si>
    <t>Частини та приладдя до транспортних засобів і їх двигунів</t>
  </si>
  <si>
    <t>35111300-8</t>
  </si>
  <si>
    <t>Вогнегасники</t>
  </si>
  <si>
    <t>39224000-8</t>
  </si>
  <si>
    <t>Мітли, щітки та інше господарське приладдя</t>
  </si>
  <si>
    <t>39500000-7</t>
  </si>
  <si>
    <t>Текстильні вироби</t>
  </si>
  <si>
    <t>Ковдри, подушки, лікарняна білизна</t>
  </si>
  <si>
    <t>39800000-0</t>
  </si>
  <si>
    <t>Продукція для чищення та полірування</t>
  </si>
  <si>
    <t>44100000-1</t>
  </si>
  <si>
    <t>Конструкційні матеріали та супутні вироби</t>
  </si>
  <si>
    <t>Цемент, труби та арматура, цвяхи</t>
  </si>
  <si>
    <t>44520000-1</t>
  </si>
  <si>
    <t>Замки, ключі та петлі</t>
  </si>
  <si>
    <t>44800000-8</t>
  </si>
  <si>
    <t>Фарби, лаки, друкарська фарба та мастики</t>
  </si>
  <si>
    <t>Фарби для підлоги та вікон, розчинники</t>
  </si>
  <si>
    <t>44921200-4</t>
  </si>
  <si>
    <t>Вапно</t>
  </si>
  <si>
    <t>44410000-7</t>
  </si>
  <si>
    <t>Вироби для ванної кімнати та кухні</t>
  </si>
  <si>
    <t>Цемент</t>
  </si>
  <si>
    <t>Всього</t>
  </si>
  <si>
    <t>2220 "Медикаменти та перев'язувальні матеріали" на 2018 рік</t>
  </si>
  <si>
    <t>18400000-3</t>
  </si>
  <si>
    <t>Спеціальний одяг та аксесуари</t>
  </si>
  <si>
    <t>Одноразові рукавички</t>
  </si>
  <si>
    <t>22820000-4</t>
  </si>
  <si>
    <t>Бланки (Рецептурні бланки ф. №3)</t>
  </si>
  <si>
    <t>22900000-9</t>
  </si>
  <si>
    <t>Друкована продукція різна</t>
  </si>
  <si>
    <t>Плівка одноканальна пишуча не чорнильна</t>
  </si>
  <si>
    <t>33100000-1</t>
  </si>
  <si>
    <t>Медичне обладнання</t>
  </si>
  <si>
    <t>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t>
  </si>
  <si>
    <t>33600000-6 (33631600-8)</t>
  </si>
  <si>
    <t>Фармацевтична продукція, Антисептичні та дезінфекційні засоби, Наркотичні середники</t>
  </si>
  <si>
    <t>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 Морфій гідрохлорид, Трамадол)</t>
  </si>
  <si>
    <t>2240 "Оплата послуг (крім комунальних)" на 2018 рік</t>
  </si>
  <si>
    <t>50112000-3</t>
  </si>
  <si>
    <t>Послуги з ремонту і технічного обслуговування автомобілів</t>
  </si>
  <si>
    <t>64210000-1</t>
  </si>
  <si>
    <t>Послуги телефонного зв’язку та передачі даних (послуги за телефон та інтернет)</t>
  </si>
  <si>
    <t>79710000-4</t>
  </si>
  <si>
    <t>Охоронні послуги (Послуги з моніторингу сигналів тривоги, що надходять з пристроїв охоронної сигналізації)</t>
  </si>
  <si>
    <t>09310000-5</t>
  </si>
  <si>
    <t xml:space="preserve"> Електрична енергія</t>
  </si>
  <si>
    <t>09320000-8</t>
  </si>
  <si>
    <t>Пара, гаряча вода та пов’язана продукція</t>
  </si>
  <si>
    <t>45232421-9</t>
  </si>
  <si>
    <t>Очищення стічних вод</t>
  </si>
  <si>
    <t>41110000-3</t>
  </si>
  <si>
    <t>Питна вода</t>
  </si>
  <si>
    <t>Матраци</t>
  </si>
  <si>
    <t>39143112-4</t>
  </si>
  <si>
    <t>Текстильні вироби (Ковдри, подушки, лікарняна білизна)</t>
  </si>
  <si>
    <t>Конструкційні матеріали та супутні вироби (Цемент, труби та арматура, цвяхи)</t>
  </si>
  <si>
    <t>Фарби, лаки, друкарська фарба та мастики (Фарби для підлоги та вікон, розчинники)</t>
  </si>
  <si>
    <t>Послуги з навчання персоналу</t>
  </si>
  <si>
    <t>80511000-9</t>
  </si>
  <si>
    <t>UA-P-2018-04-30-000204-c Додано код (+3350,00) 2240</t>
  </si>
  <si>
    <t>UA-P-2018-04-30-000209-c Зміни до плану UA-P-2018-01-16-004159-a (-2160,00), (-7858,55) 2210</t>
  </si>
  <si>
    <t>UA-P-2018-04-30-000206-c Зміни до плану UA-P-2018-01-16-004172-a (+3000,00) 2210</t>
  </si>
  <si>
    <t>UA-P-2018-04-30-000211-c Зміни до плану UA-P-2018-01-16-004160-a (-2641,45) 2210</t>
  </si>
  <si>
    <t>UA-P-2018-04-30-000207-c Зміни до плану UA-P-2018-01-16-004158-a (-3000,00) 2210</t>
  </si>
  <si>
    <t>UA-P-2018-04-30-000203-c Зміни до плану UA-P-2018-01-16-004155-a (-331,00) 2240</t>
  </si>
  <si>
    <t xml:space="preserve">UA-P-2018-04-30-000202-c  Додано код (+331,00) 2240 </t>
  </si>
  <si>
    <t>UA-P-2018-04-30-000213-c Зміни до плану UA-P-2018-01-16-004170-a (-1000,00) 2210</t>
  </si>
  <si>
    <t>UA-P-2018-04-30-000210-c Додано код (+10000,00) 2210</t>
  </si>
  <si>
    <t>UA-P-2018-04-30-000208-c Зміни до плану UA-P-2018-01-16-004157-a (+2160,00) 2210</t>
  </si>
  <si>
    <t>UA-P-2018-04-30-000214-c Зміни до плану UA-P-2018-01-16-004181-a (-2500,00) 2210</t>
  </si>
  <si>
    <t>UA-P-2018-04-30-000215-c  Додано код (+552,00) 2282 (кошти зі спецфонду)</t>
  </si>
  <si>
    <t>UA-P-2018-04-30-000205-c Зміни до плану UA-P-2018-01-16-004176-a (-3000,00), (+5000,00) 2240</t>
  </si>
  <si>
    <t>UA-P-2018-04-30-000212-c Зміни до плану UA-P-2018-01-16-004165-a (-1000,00) 2210</t>
  </si>
  <si>
    <t>ЗМІНИ ВІД 31.05.2018</t>
  </si>
  <si>
    <t>Спеціальний одяг та аксесуари (одноразові рукавички)</t>
  </si>
  <si>
    <t>33600000-6</t>
  </si>
  <si>
    <t>Фармацевтична продукція, Антисептичні та дезінфекційні засоби, Наркотичні середники 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 Морфій гідрохлорид, Трамадол)</t>
  </si>
  <si>
    <t>UA-P-2018-06-08-003623-c Зміни до плану UA-P-2018-01-16-004179-a (+643,00) 2220</t>
  </si>
  <si>
    <t>UA-P-2018-06-08-003712-c Зміни до плану UA-P-2018-01-16-004177-a (-11902,19) 2220</t>
  </si>
  <si>
    <t>UA-P-2018-06-08-003709-c Зміни до плану UA-P-2018-01-16-004183-a (-1053,20) 2220</t>
  </si>
  <si>
    <t>UA-P-2018-06-08-003707-c Зміни до плану UA-P-2018-05-31-002481-b (+11832,39) 2220</t>
  </si>
  <si>
    <t>UA-P-2018-06-08-003625-c Зміни до плану UA-P-2018-05-31-002477-b (+480,00) 2220</t>
  </si>
  <si>
    <t>Бензин (Бензин марки А-92)</t>
  </si>
  <si>
    <t>Пластмасові вироби (Відра пластмасові, совки, пластмасові ємкості)</t>
  </si>
  <si>
    <t>UA-P-2018-01-16-004154-a</t>
  </si>
  <si>
    <t>Поліетиленові мішки та пакети для сміття (Пакети для сміття)</t>
  </si>
  <si>
    <t>Вироби для ванної кімнати та кухні (Цемент)</t>
  </si>
  <si>
    <t>UA-P-2018-05-31-002444-b Зміни до плану UA-P-2018-04-30-000203-c (+1204,62) 2240</t>
  </si>
  <si>
    <t>UA-P-2018-05-31-002446-b Зміни до плану UA-P-2018-01-16-004189-a (-2000,00) 2240</t>
  </si>
  <si>
    <t>UA-P-2018-05-31-002448-b Зміни до плану UA-P-2018-04-30-000207-c (-970,45) 2210</t>
  </si>
  <si>
    <t>UA-P-2018-05-31-002481-b Зміни до плану UA-P-2018-01-16-004163-a  (-509,20) 2220</t>
  </si>
  <si>
    <t>UA-P-2018-05-31-002483-b Зміни до плану UA-P-2018-01-16-004156-a  (-30000,00) 2273</t>
  </si>
  <si>
    <t>UA-P-2018-05-31-002474-b Додано код (+375,00) 2210</t>
  </si>
  <si>
    <t>UA-P-2018-05-31-002445-b Зміни до плану UA-P-2018-01-16-004184-a (-387,10) 2240</t>
  </si>
  <si>
    <t>UA-P-2018-05-31-002442-b Зміни до плану UA-P-2018-04-30-000205-c (+1182,48) 2240</t>
  </si>
  <si>
    <t>UA-P-2018-05-31-002447-b Зміни до плану UA-P-2018-04-30-000211-c (+595,45) 2210</t>
  </si>
  <si>
    <t>UA-P-2018-05-31-002477-b Додано код (+509,20) 2220</t>
  </si>
  <si>
    <t>72261000-2</t>
  </si>
  <si>
    <t>Послуги з обслуговування програмного забезпечення (Виготовлення електронних ключів)</t>
  </si>
  <si>
    <t>UA-P-2018-06-27-003370-a Зміни до плану UA-P-2018-05-31-002483-b (-478197,13) 2273</t>
  </si>
  <si>
    <t>UA-P-2018-06-27-003369-a Зміни до плану UA-P-2018-04-30-000212-c (-2181,48) 2210</t>
  </si>
  <si>
    <t>UA-P-2018-06-27-003378-a Зміни до плану UA-P-2018-01-16-004178-a (-150,00) 2210</t>
  </si>
  <si>
    <t>UA-P-2018-06-27-003381-a Зміни до плану UA-P-2018-05-31-002444-b (-222,26) 2240</t>
  </si>
  <si>
    <t>UA-P-2018-06-27-003377-a  Зміни до плану UA-P-2018-05-31-002448-b (-6769,55) 2210</t>
  </si>
  <si>
    <t>UA-P-2018-06-27-003379-a Зміни до плану UA-P-2018-01-16-004188-a (-1000,00) 2210</t>
  </si>
  <si>
    <t>UA-P-2018-06-27-003373-a  Зміни до плану UA-P-2018-04-30-000210-c (-200,00) 2210</t>
  </si>
  <si>
    <t>UA-P-2018-06-27-003371-a Додано код (+1045,80) 2210</t>
  </si>
  <si>
    <t>UA-P-2018-06-27-003372-a  Зміни до плану UA-P-2018-01-16-004163-a (-4530,26) 2272</t>
  </si>
  <si>
    <t>UA-P-2018-06-27-003374-a Зміни до плану UA-P-2018-01-16-004164-a (-446,00) 2210</t>
  </si>
  <si>
    <t>UA-P-2018-06-27-003368-a Зміни до плану UA-P-2018-01-16-004173-a (-1000,00) 2210</t>
  </si>
  <si>
    <t>UA-P-2018-06-27-003376-a Зміни до плану UA-P-2018-01-16-004180-a (-780,00) 2210</t>
  </si>
  <si>
    <t>UA-P-2018-06-27-003385-a Зміни до плану UA-P-2018-05-31-002442-b (+4877,54) 2240</t>
  </si>
  <si>
    <t xml:space="preserve">UA-P-2018-06-27-003389-a Зміни до плану UA-P-2018-04-30-000202-c (-331,00) 2240 </t>
  </si>
  <si>
    <t>UA-P-2018-06-27-003397-a Зміни до плану UA-P-2018-04-30-000206-c (-34,20) 2210</t>
  </si>
  <si>
    <t>UA-P-2018-06-27-003375-a Зміни до плану UA-P-2018-01-16-004154-a (-4,00) 2210</t>
  </si>
  <si>
    <t>UA-P-2018-06-27-003391-a  Зміни до плану UA-P-2018-04-30-000215-c  (+650,00) 2282</t>
  </si>
  <si>
    <t>UA-P-2018-06-27-003388-a Додано код (+3835,41) 2210</t>
  </si>
  <si>
    <t>UA-P-2018-06-27-003394-a Зміни до плану UA-P-2018-06-08-003707-c (-8545,37) 2220</t>
  </si>
  <si>
    <t>UA-P-2018-06-27-003383-a Зміни до плану UA-P-2018-01-16-004171-a (-1000,00) 2210</t>
  </si>
  <si>
    <t>UA-P-2018-06-27-003392-a Додано код (+5826,00) 2210</t>
  </si>
  <si>
    <t>UA-P-2018-06-27-003399-a Зміни до плану UA-P-2018-01-16-004187-a (-1700,00) 2210</t>
  </si>
  <si>
    <t>UA-P-2018-06-27-003395-a Зміни до плану UA-P-2018-01-16-004170-a (1340,00) 2210</t>
  </si>
  <si>
    <t>UA-P-2018-06-27-003384-a Зміни до плану UA-P-2018-01-16-004186-a (-941,45) 2240</t>
  </si>
  <si>
    <t>UA-P-2018-06-27-003382-a  Додано код (+600,00) 2240</t>
  </si>
  <si>
    <t>UA-P-2018-06-27-003398-a  Зміни до плану UA-P-2018-01-16-004153-a (-2000,00) 2210</t>
  </si>
  <si>
    <t>UA-P-2018-06-27-003387-a Зміни до плану UA-P-2018-01-16-004182-a (-2975,95) 2272</t>
  </si>
  <si>
    <t>UA-P-2018-06-27-003393-a Зміни до плану UA-P-2018-01-16-004168-a (-100786,75) 2271</t>
  </si>
  <si>
    <t>UA-P-2018-06-27-003390 Зміни до плану UA-P-2018-01-16-004185-a (-628,00) 2210</t>
  </si>
  <si>
    <t>UA-P-2018-06-27-003386-a Зміни до плану UA-P-2018-04-30-000214-c (-1033,00) 2210</t>
  </si>
  <si>
    <t>Угоди</t>
  </si>
  <si>
    <t>Залишок</t>
  </si>
  <si>
    <t>Газети, періодичні спеціалізовані та інші періодичні видання і журнали</t>
  </si>
  <si>
    <t>22200000-2</t>
  </si>
  <si>
    <t>Офісні техніка, устаткування та приладдя, крім комп’ютерів, принтерів та меблів (Папір ксероксний, офісне приладдя, дрібне канцелярське приладдя)</t>
  </si>
  <si>
    <t>Акумуляторні батареї</t>
  </si>
  <si>
    <t>31440000-2</t>
  </si>
  <si>
    <t>Гравій, пісок, щебінь і наповнювачі</t>
  </si>
  <si>
    <t>14210000-6</t>
  </si>
  <si>
    <t>44220000-8</t>
  </si>
  <si>
    <t>Спеціальний одяг та аксесуари (Одноразові рукавички)</t>
  </si>
  <si>
    <t>Друкована продукція різна (Плівка одноканальна пишуча не чорнильна)</t>
  </si>
  <si>
    <t>Основні органічні та неорганічні хімічні речовини (Ethanol (Етиловий спирт))</t>
  </si>
  <si>
    <t>24300000-7</t>
  </si>
  <si>
    <t>31700000-3</t>
  </si>
  <si>
    <t>Медичне обладнання (Шприци,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t>
  </si>
  <si>
    <t>Вимірювальні прилади (Ваги медичні дорослі та дитячі)</t>
  </si>
  <si>
    <t>38300000-8</t>
  </si>
  <si>
    <t>Послуги з ремонту і технічного обслуговування медичного обладнання</t>
  </si>
  <si>
    <t>50421000-2</t>
  </si>
  <si>
    <t>Страхові послуги (Послуги зі страхування життя та автомобілів)</t>
  </si>
  <si>
    <t>66510000-8</t>
  </si>
  <si>
    <t>45310000-3</t>
  </si>
  <si>
    <t>45430000-0</t>
  </si>
  <si>
    <t>Банківські послуги</t>
  </si>
  <si>
    <t>66110000-4</t>
  </si>
  <si>
    <t>Прання білизни</t>
  </si>
  <si>
    <t>вигот ключів</t>
  </si>
  <si>
    <t>Послуги у сфері охорони здоров’я</t>
  </si>
  <si>
    <t>85100000-0</t>
  </si>
  <si>
    <t>Послуги з надання в оренду чи лізингу нежитлової нерухомості</t>
  </si>
  <si>
    <t>70220000-9</t>
  </si>
  <si>
    <t>Розподіл газу</t>
  </si>
  <si>
    <t>65210000-8</t>
  </si>
  <si>
    <t>Природний газ</t>
  </si>
  <si>
    <t>09123000-7</t>
  </si>
  <si>
    <t>ціна</t>
  </si>
  <si>
    <t>к-ть</t>
  </si>
  <si>
    <t>Пакети програмного забезпечення для контролю відповідності (Медікс (174,0), 1-с (25,0))</t>
  </si>
  <si>
    <t>Електромонтажні роботи (збільшення потужності)</t>
  </si>
  <si>
    <t>Граничні норми добових витрат у 2018 році</t>
  </si>
  <si>
    <t>Витрати</t>
  </si>
  <si>
    <t>У межах України</t>
  </si>
  <si>
    <t>За кордон</t>
  </si>
  <si>
    <t>Розмір</t>
  </si>
  <si>
    <t>Сума</t>
  </si>
  <si>
    <t>0,1 розміру МЗП, встановленої законом на 1 січня податкового (звітного) року, в розрахунку за кожен календарний день</t>
  </si>
  <si>
    <t>372,30 грн.</t>
  </si>
  <si>
    <t>80 євро </t>
  </si>
  <si>
    <t>(за офіційним обмінним курсом гривні до євро, установленим Національним банком України)</t>
  </si>
  <si>
    <t>Граничні норми добових витрат визначено абз. 6 пп. 170.9.1 ПКУ для цілей оподаткування ПДФО та військовим збором.</t>
  </si>
  <si>
    <t>Наведені норми встановлено для працівників підприємств усіх форм власності, крім державних службовців та осіб, які направляються у відрядження підприємствами, що повністю або частково утримуються за рахунок бюджетних коштів, для яких постановою КМУ від 02.02.2011 р. N 98 встановлено окремі норми. </t>
  </si>
  <si>
    <t>липень</t>
  </si>
  <si>
    <t>По спецфонду</t>
  </si>
  <si>
    <t>Назва</t>
  </si>
  <si>
    <t>код</t>
  </si>
  <si>
    <t>ціна, тис. грн.</t>
  </si>
  <si>
    <t>од</t>
  </si>
  <si>
    <t>кількість</t>
  </si>
  <si>
    <t>вартість, тис. грн</t>
  </si>
  <si>
    <t>Гематологічні аналізатори</t>
  </si>
  <si>
    <t>38434570-2</t>
  </si>
  <si>
    <t>шт</t>
  </si>
  <si>
    <t>Аналізатори сечі</t>
  </si>
  <si>
    <t>38434500-1</t>
  </si>
  <si>
    <t>Електрокардіографи</t>
  </si>
  <si>
    <t>33121500-9</t>
  </si>
  <si>
    <t>РАЗОМ</t>
  </si>
  <si>
    <t>Електронне, електромеханічне та електротехнічне обладнання (Глюкометри, тонометри 50 шт)</t>
  </si>
  <si>
    <t>кількість штук в упаковці</t>
  </si>
  <si>
    <t>ціна за упаковку</t>
  </si>
  <si>
    <t>кількість упаковок</t>
  </si>
  <si>
    <t>вартість</t>
  </si>
  <si>
    <t>№ позиції</t>
  </si>
  <si>
    <t>Гінекологічна група тестів</t>
  </si>
  <si>
    <t>Назва групи</t>
  </si>
  <si>
    <t>Тест-смужка підвищеної чутливості для визначення вагітності</t>
  </si>
  <si>
    <t>Діагностичні тест-смужки</t>
  </si>
  <si>
    <t>Діагностичні тест-смужки для визначення уробіліногену, глюкози, білірубіну, кетонів, крові, рН, білка, нітритів, питомої ваги, лейкоцитів</t>
  </si>
  <si>
    <t>Швидкі тести для діагностики інфекційних захворювань</t>
  </si>
  <si>
    <t>Швидкий тест для визначення НВsAg вірусу гепатиту В (цільна кров, сироватка, плазма)</t>
  </si>
  <si>
    <t>Швидкий тест для визначення антитіл до вірусу гепатиту С (цільна кров, сироватка, плазма)</t>
  </si>
  <si>
    <t>Швидкий тест для визначення антитіл до ВІЛ 1 та 2 типів (цільна кров, сироватка, плазма)</t>
  </si>
  <si>
    <t>Швидкі тести для визначення кардіомаркерів</t>
  </si>
  <si>
    <t>Швидкий тест для визначення тропоніну І (цільна сироватка, кров, плазма)</t>
  </si>
  <si>
    <t>Швидкі тести для визначення онкомаркерів</t>
  </si>
  <si>
    <t>Швидкий тест ультра для визначення простато-специфічного антигену (цільна кров, сироватка, плазма) (пороговий рівень 3 нг/мл)</t>
  </si>
  <si>
    <t>Розрахунок</t>
  </si>
  <si>
    <t>Швидкі тести для визначення цукру в крові</t>
  </si>
  <si>
    <t>Швидкий тест для визначення цукру в крові</t>
  </si>
  <si>
    <t>шприци, вироби одноразового застосування (шпателі), меблі медичні</t>
  </si>
  <si>
    <t>Найменування видатків</t>
  </si>
  <si>
    <t>КЕКВ</t>
  </si>
  <si>
    <t>Призначено на рік</t>
  </si>
  <si>
    <t>січень</t>
  </si>
  <si>
    <t>лютий</t>
  </si>
  <si>
    <t>березень</t>
  </si>
  <si>
    <t>квітень</t>
  </si>
  <si>
    <t>травень</t>
  </si>
  <si>
    <t>червень</t>
  </si>
  <si>
    <t>серпень</t>
  </si>
  <si>
    <t>вересень</t>
  </si>
  <si>
    <t>жовтень</t>
  </si>
  <si>
    <t>листопад</t>
  </si>
  <si>
    <t>грудень</t>
  </si>
  <si>
    <t>Кошторисні призначення по КЗ КМР "Коломийський міський центр ПМСД "на 2018 рік</t>
  </si>
  <si>
    <t>Всього на рік</t>
  </si>
  <si>
    <t>Поточні видатки:</t>
  </si>
  <si>
    <t>Заробітна плата</t>
  </si>
  <si>
    <t>Нарахування на заробітну плату</t>
  </si>
  <si>
    <t>Придбання товарів і послуг</t>
  </si>
  <si>
    <t>Предмети, матеріали, обладнання та інвентар у т. ч. м'який інвентар та обмурдирування</t>
  </si>
  <si>
    <t>Медикаменти та перев'язувальні матеріали</t>
  </si>
  <si>
    <t>Продукти харчування</t>
  </si>
  <si>
    <t>Оплата послуг (крім комунальних)</t>
  </si>
  <si>
    <t xml:space="preserve">Видатки на відрядження </t>
  </si>
  <si>
    <t>Оплата комунальних послуг та енергоносіїв</t>
  </si>
  <si>
    <t>Оплата теплопостачання</t>
  </si>
  <si>
    <t>Оплата водопостачання і
 водовідведення</t>
  </si>
  <si>
    <t>Оплата електроенергії</t>
  </si>
  <si>
    <t>Окремі заходи</t>
  </si>
  <si>
    <t>Головний лікар</t>
  </si>
  <si>
    <t>Мельничук В. Б</t>
  </si>
  <si>
    <t>Головний бухгалтер</t>
  </si>
  <si>
    <t>Владика Г. Р.</t>
  </si>
  <si>
    <t>Разом</t>
  </si>
  <si>
    <t>Оплата водопостачання та водовідведення</t>
  </si>
  <si>
    <t>Всього:</t>
  </si>
  <si>
    <t>енергоносії</t>
  </si>
  <si>
    <t>Фармацевтична продукція, Антисептичні та дезінфекційні засоби</t>
  </si>
  <si>
    <t>Штрафи, пені, неустойки</t>
  </si>
  <si>
    <t>ІІІ кв.</t>
  </si>
  <si>
    <t>IV кв.</t>
  </si>
  <si>
    <t>ЗАТВЕРДЖЕНО</t>
  </si>
  <si>
    <t>рішення міської ради</t>
  </si>
  <si>
    <t>від _____________ р. № __________</t>
  </si>
  <si>
    <t>Міський голова</t>
  </si>
  <si>
    <t>І. Слюзар</t>
  </si>
  <si>
    <t>Проект</t>
  </si>
  <si>
    <t>Х</t>
  </si>
  <si>
    <t>Попередній</t>
  </si>
  <si>
    <t>Уточнений</t>
  </si>
  <si>
    <t>Зміни</t>
  </si>
  <si>
    <t>зробити позначку "Х"</t>
  </si>
  <si>
    <t>Коди</t>
  </si>
  <si>
    <t xml:space="preserve">Підприємство  </t>
  </si>
  <si>
    <t>Комунальне некомерційне підприємство Коломийської міської ради "Коломийський міський центр первинної медико-санітарної допомоги"</t>
  </si>
  <si>
    <t xml:space="preserve">за ЄДРПОУ </t>
  </si>
  <si>
    <t xml:space="preserve">Організаційно-правова форма </t>
  </si>
  <si>
    <t>Комунальне підприємство</t>
  </si>
  <si>
    <t>за КОПФГ</t>
  </si>
  <si>
    <t>Територія</t>
  </si>
  <si>
    <t>м. Коломия</t>
  </si>
  <si>
    <t>за КОАТУУ</t>
  </si>
  <si>
    <r>
      <t xml:space="preserve">Орган державного управління  </t>
    </r>
    <r>
      <rPr>
        <b/>
        <i/>
        <sz val="14"/>
        <rFont val="Times New Roman"/>
        <family val="1"/>
      </rPr>
      <t xml:space="preserve"> </t>
    </r>
  </si>
  <si>
    <t>за СПОДУ</t>
  </si>
  <si>
    <t xml:space="preserve">Галузь     </t>
  </si>
  <si>
    <t>за ЗКГНГ</t>
  </si>
  <si>
    <t xml:space="preserve">Вид економічної діяльності    </t>
  </si>
  <si>
    <t xml:space="preserve">за  КВЕД  </t>
  </si>
  <si>
    <t>86.10</t>
  </si>
  <si>
    <t>Одиниця виміру,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</si>
  <si>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</si>
  <si>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</si>
  <si>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</si>
  <si>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</si>
  <si>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</si>
  <si>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</si>
  <si>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78200, Івано-Франківська область, м. Коломия, вул. В'ячеслава Чорновола, 32</t>
  </si>
  <si>
    <t xml:space="preserve">Телефон </t>
  </si>
  <si>
    <t>0343346364</t>
  </si>
  <si>
    <t>Керівник</t>
  </si>
  <si>
    <t>Мельничук Володимир Богданович</t>
  </si>
  <si>
    <r>
      <t>ФІНАНСОВИЙ ПЛАН ПІДПРИЄМСТВА НА __</t>
    </r>
    <r>
      <rPr>
        <b/>
        <u val="single"/>
        <sz val="14"/>
        <rFont val="Times New Roman"/>
        <family val="1"/>
      </rPr>
      <t>ІІ півріччя 2018</t>
    </r>
    <r>
      <rPr>
        <b/>
        <sz val="14"/>
        <rFont val="Times New Roman"/>
        <family val="1"/>
      </rPr>
      <t>___ року</t>
    </r>
  </si>
  <si>
    <t>тис. грн.</t>
  </si>
  <si>
    <t>Найменування показника</t>
  </si>
  <si>
    <t xml:space="preserve">Код рядка </t>
  </si>
  <si>
    <t>Факт минулого року</t>
  </si>
  <si>
    <t>Фінансовий план поточного року</t>
  </si>
  <si>
    <t>Плановий рік  (усього)</t>
  </si>
  <si>
    <t xml:space="preserve">У тому числі за кварталами </t>
  </si>
  <si>
    <t>Пояснення та обґрунтування до запланованого рівня доходів/витрат</t>
  </si>
  <si>
    <t xml:space="preserve">І  </t>
  </si>
  <si>
    <t xml:space="preserve">ІІ  </t>
  </si>
  <si>
    <t xml:space="preserve">ІІІ  </t>
  </si>
  <si>
    <t xml:space="preserve">ІV </t>
  </si>
  <si>
    <t>I. Фінансові результати</t>
  </si>
  <si>
    <t>Доходи і витрати від операційної діяльності (деталізація)</t>
  </si>
  <si>
    <t>Дохід (виручка) від реалізації продукції (товарів, робіт, послуг)</t>
  </si>
  <si>
    <t>наші дві цифри по договору</t>
  </si>
  <si>
    <t>Дохід з місцевого бюджету цільового фінансування на оплату комунальних послуг та енергоносіїв, товарів, робіт та послуг</t>
  </si>
  <si>
    <t>Дохід з місцевого бюджету за цільовими програмами, у тому числі:</t>
  </si>
  <si>
    <t>Програма розвитку первинної медико-санітарної допомоги на засадах сімейної медицини в місті Коломиї на період 2016 - 2020 рр.</t>
  </si>
  <si>
    <t>Централізовані заходи з лікування хворих на цукровий та нецукровий діабет</t>
  </si>
  <si>
    <t>Інші програми та заходи у сфері охорони здоров’я (Відшкодування вартості лікарських засобів згідно Урядової програми "Доступні ліки")</t>
  </si>
  <si>
    <t>УП ДЛ</t>
  </si>
  <si>
    <t>Собівартість реалізованої продукції (товарів, робіт, послуг)</t>
  </si>
  <si>
    <t>Витрати на послуги, матеріали та сировину, в т. ч.:</t>
  </si>
  <si>
    <t>медикаменти та перев’язувальні матеріали</t>
  </si>
  <si>
    <t>Предмети, матеріали, обладнання та інвентар у т. ч. м'який інвентар, запасні частини до транспортних засобів</t>
  </si>
  <si>
    <t>Витрати на паливо-мастильні матеріали</t>
  </si>
  <si>
    <t>Витрати на комунальні послуги та енергоносії, в т.ч.:</t>
  </si>
  <si>
    <t>Витрати на електроенергію</t>
  </si>
  <si>
    <t>Витрати на водопостачання та водовідведення</t>
  </si>
  <si>
    <t>Витрати на природній газ</t>
  </si>
  <si>
    <t>-</t>
  </si>
  <si>
    <t>Витрати на теплоенергію</t>
  </si>
  <si>
    <t>Оплата послуг (крім комунальних), в т. ч. супровід програмного забезпечення, телекомунікаційні послуги</t>
  </si>
  <si>
    <t>Витрати на оплату праці</t>
  </si>
  <si>
    <t>Відрахування на соціальні заходи</t>
  </si>
  <si>
    <t>Витрати на відрядження</t>
  </si>
  <si>
    <t>витрати на охорону праці та навчання працівників</t>
  </si>
  <si>
    <t>Витрати по виконанню Урядової програми "Доступні ліки" на відшкодування вартості лікарських засобів</t>
  </si>
  <si>
    <t>Витрати, що здійснюються для підтримання об’єкта в робочому стані (проведення поточного ремонту)</t>
  </si>
  <si>
    <t>????? Поточний ремонт</t>
  </si>
  <si>
    <t>Амортизація</t>
  </si>
  <si>
    <t>Інші витрати (розшифрувати)</t>
  </si>
  <si>
    <t>РЕМ + газ</t>
  </si>
  <si>
    <t>Адміністративні витрати, у тому числі:</t>
  </si>
  <si>
    <t xml:space="preserve">Предмети, матеріали, обладнання та інвентар у т. ч. офісне приладдя та устаткування, витрати на канцтовари, запасні частини до транспортних засобів </t>
  </si>
  <si>
    <t>страхування авто</t>
  </si>
  <si>
    <t>витрати на службові відрядження</t>
  </si>
  <si>
    <t>Уточнити заборгованість на 01.07.18</t>
  </si>
  <si>
    <t>витрати на оплату праці</t>
  </si>
  <si>
    <t>відрахування на соціальні заходи</t>
  </si>
  <si>
    <t>????</t>
  </si>
  <si>
    <t>???</t>
  </si>
  <si>
    <t xml:space="preserve">Амортизація </t>
  </si>
  <si>
    <t>Інші доходи від операційної діяльності, в т.ч.:</t>
  </si>
  <si>
    <t>дохід від операційної оренди активів</t>
  </si>
  <si>
    <t>дохід від реалізації необоротних активів</t>
  </si>
  <si>
    <t>надходження в натуральній формі</t>
  </si>
  <si>
    <t>Інші витрати від операційної діяльності (Підписка на періодичні видання)</t>
  </si>
  <si>
    <t>ІІ. Елементи операційних витрат</t>
  </si>
  <si>
    <t>Матеріальні затрати</t>
  </si>
  <si>
    <t>Інші операційні витрати</t>
  </si>
  <si>
    <t>Разом (сума рядків 310 - 350)</t>
  </si>
  <si>
    <t>ІІІ. Інвестиційна діяльність</t>
  </si>
  <si>
    <t>Доходи від інвестиційної діяльності, у т.ч.:</t>
  </si>
  <si>
    <t>доходи з місцевого бюджету цільового фінансування по капітальних видатках</t>
  </si>
  <si>
    <t>Капітальні інвестиції, усього, у тому числі:</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</si>
  <si>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</si>
  <si>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</si>
  <si>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</si>
  <si>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</si>
  <si>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</si>
  <si>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</si>
  <si>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ІV. Фінансова діяльність</t>
  </si>
  <si>
    <t>Доходи від фінансової діяльності за зобов’язаннями, у т. ч.:</t>
  </si>
  <si>
    <t xml:space="preserve">кредити </t>
  </si>
  <si>
    <t>позики</t>
  </si>
  <si>
    <t>депозити</t>
  </si>
  <si>
    <t>Інші надходження (розшифрувати)</t>
  </si>
  <si>
    <t>Витрати від фінансової діяльності за зобов’язаннями, у т. ч.:</t>
  </si>
  <si>
    <t>Усього доходів</t>
  </si>
  <si>
    <t>Усього витрат</t>
  </si>
  <si>
    <t>Нерозподілені доходи</t>
  </si>
  <si>
    <t>IV. Додаткова інформація</t>
  </si>
  <si>
    <t>на 1.01</t>
  </si>
  <si>
    <t>на 1.04</t>
  </si>
  <si>
    <t>на 1.07</t>
  </si>
  <si>
    <t>на 1.10</t>
  </si>
  <si>
    <t>на 31.12</t>
  </si>
  <si>
    <t>Штатна чисельність працівників</t>
  </si>
  <si>
    <t>Первісна вартість основних засобів</t>
  </si>
  <si>
    <t>Податкова заборгованість</t>
  </si>
  <si>
    <t>Заборгованість перед працівниками за заробітною платою</t>
  </si>
  <si>
    <r>
      <t xml:space="preserve">Керівник      </t>
    </r>
    <r>
      <rPr>
        <u val="single"/>
        <sz val="13"/>
        <rFont val="Times New Roman"/>
        <family val="1"/>
      </rPr>
      <t>В. о. головного лікаря КНП КМР "КМЦ ПМСД"</t>
    </r>
  </si>
  <si>
    <t>_________________________</t>
  </si>
  <si>
    <t>В. Б. Мельничук</t>
  </si>
  <si>
    <t xml:space="preserve">                                (посада)</t>
  </si>
  <si>
    <t xml:space="preserve">               (підпис)</t>
  </si>
  <si>
    <t xml:space="preserve">         (ініціали, прізвище)    </t>
  </si>
  <si>
    <t>Послуги з ремонту і технічного обслуговування вимірювальних, випробувальних і контрольних приладів (Послуги з ремонту і технічного обслуговування вимірювальних приладів, Послуги з ремонту і технічного обслуговування протипожежного обладнання)</t>
  </si>
  <si>
    <t>50410000-2</t>
  </si>
  <si>
    <t>Електрична енергія</t>
  </si>
  <si>
    <r>
      <t>вода 1м</t>
    </r>
    <r>
      <rPr>
        <b/>
        <sz val="12"/>
        <color indexed="8"/>
        <rFont val="Calibri"/>
        <family val="2"/>
      </rPr>
      <t>ᵌ</t>
    </r>
    <r>
      <rPr>
        <b/>
        <sz val="12"/>
        <color indexed="8"/>
        <rFont val="Times New Roman"/>
        <family val="1"/>
      </rPr>
      <t>/грн</t>
    </r>
  </si>
  <si>
    <t>стоки 1мᵌ/грн</t>
  </si>
  <si>
    <t>в т.ч. по місяцях                                                                                                станом на 01.07.2018</t>
  </si>
  <si>
    <t>Кошти від НСЗУ згідно звітів</t>
  </si>
  <si>
    <t>Сума договору на 6 місяців</t>
  </si>
  <si>
    <t>РОЗРАХУНКИ ДО ФІНАНСОВОГО ПЛАНУ</t>
  </si>
  <si>
    <t>КНП КМР "Коломийський міський центр ПМСД"</t>
  </si>
  <si>
    <t>на ІІ півріччя 2018 року</t>
  </si>
  <si>
    <t>Код рядка</t>
  </si>
  <si>
    <t>Залишок кошторисних призначень по відшкодуванню вартості лікарських засобів згідно Урядової програми "Доступні ліки" станом на 01.07.2018 року</t>
  </si>
  <si>
    <t>Кошторисні призначення по відшкодуванню вартості лікарських засобів згідно Урядової програми "Доступні ліки" на ІІ півріччя 2018 року</t>
  </si>
  <si>
    <t>Фармацевтична продукція, Антисептичні та дезінфекційні засоби (Антисептичні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t>
  </si>
  <si>
    <t>ДК 021:2015</t>
  </si>
  <si>
    <t>Назва рядка</t>
  </si>
  <si>
    <t>Медикаменти та перев’язувальні матеріали</t>
  </si>
  <si>
    <t>Мастильні засоби (Масло)</t>
  </si>
  <si>
    <t>142, 261</t>
  </si>
  <si>
    <t>150, 268</t>
  </si>
  <si>
    <t>Паливно-мастильні матеріали</t>
  </si>
  <si>
    <t>Підписка на періодичні видання</t>
  </si>
  <si>
    <t>170, 262</t>
  </si>
  <si>
    <t>Покривання підлоги та стін (Леонтовича 75,0, Чорновола 15,0, Шевченка 10,0)</t>
  </si>
  <si>
    <t>210, 269</t>
  </si>
  <si>
    <t>Витрати на охорону праці та навчання працівників</t>
  </si>
  <si>
    <t>200, 263</t>
  </si>
  <si>
    <t>Відрядження</t>
  </si>
  <si>
    <t>оплата за 1 день</t>
  </si>
  <si>
    <t>Витрати на відрядження працівників</t>
  </si>
  <si>
    <t>ціна за одиницю</t>
  </si>
  <si>
    <t>380 (382)</t>
  </si>
  <si>
    <t>Капітальні інвестиції (придбання (виготовлення) основних засобів)</t>
  </si>
  <si>
    <t>Інші адміністративні витрати (штрафи, пені, неустойки)</t>
  </si>
  <si>
    <t>Інші витрати (санітарно-гігієнічні послуги)</t>
  </si>
  <si>
    <t>інші адміністративні витрати (юридичні послуги, штрафи, пені, неустойки)</t>
  </si>
  <si>
    <t>№ п/п</t>
  </si>
  <si>
    <t>Кількість,</t>
  </si>
  <si>
    <t>шт.</t>
  </si>
  <si>
    <t>Ціна за одиницю</t>
  </si>
  <si>
    <t>Вартість всього, грн.</t>
  </si>
  <si>
    <t>Електрокардіограф портативний 3-х канальний</t>
  </si>
  <si>
    <t>Електрокардіограф портативний 1-но канальний</t>
  </si>
  <si>
    <t>Електрокардіограф 12-ти канальний</t>
  </si>
  <si>
    <t>Отоофтальмоскоп</t>
  </si>
  <si>
    <t>Неврологічний молоток</t>
  </si>
  <si>
    <t>Фонарики медичні</t>
  </si>
  <si>
    <t>Пульсоксиметри</t>
  </si>
  <si>
    <t>Стетофонендоскоп</t>
  </si>
  <si>
    <t>Ваги дитячі</t>
  </si>
  <si>
    <t>Ваги дорослі</t>
  </si>
  <si>
    <t>Діагностичні тест-смужки для визначення уробіліногену, глюкози, білірубіну, кетонів, крові, рН, білка, нітритів, питомої ваги, лейкоцитів № 100</t>
  </si>
  <si>
    <t>Швидкий тест для визначення НВsAg вірусу гепатиту В (цільна кров, сироватка, плазма) № 40</t>
  </si>
  <si>
    <t>Швидкий тест для визначення антитіл до вірусу гепатиту С (цільна кров, сироватка, плазма) № 40</t>
  </si>
  <si>
    <t>Швидкий тест для визначення антитіл до ВІЛ 1 та 2 типів (цільна кров, сироватка, плазма) № 40</t>
  </si>
  <si>
    <t>Швидкий тест для визначення тропоніну І (цільна сироватка, кров, плазма) № 40</t>
  </si>
  <si>
    <t>Швидкий тест ультра для визначення простато-специфічного антигену (цільна кров, сироватка, плазма) (пороговий рівень 3 нг/мл) № 1</t>
  </si>
  <si>
    <t>Швидкий тест для визначення цукру в крові № 50</t>
  </si>
  <si>
    <t>Біохімфарма</t>
  </si>
  <si>
    <t>ВУС</t>
  </si>
  <si>
    <t>11.50 (МН) Неврологічний молоток (Молоток неврологічний по Buck SURGIWELOMED, без голки та пензлика)</t>
  </si>
  <si>
    <t>Діагностичний ліхтарик, білий металевий з кнопкою (батарея не входить в комплект)</t>
  </si>
  <si>
    <t>Стетофонендоскоп Раппапорта LD Speciale</t>
  </si>
  <si>
    <t>Ваги дитячі (Модель 6475) зареєстровані як побутові</t>
  </si>
  <si>
    <t>Тест-смужка підвищеної чутливості для визначення вагітності № 1</t>
  </si>
  <si>
    <t>Швидкий тест для визначення цукру в крові № 50 On Call Plus</t>
  </si>
  <si>
    <t>Фармаско</t>
  </si>
  <si>
    <t>Прихована кров у калі</t>
  </si>
  <si>
    <t>2210 "Предмети, матеріали, обладнання та інвентар, у т. ч. м'який інвентар та обмурдирування" на 2019 рік</t>
  </si>
  <si>
    <t>2220 "Медикаменти та перев'язувальні матеріали" на 2019 рік</t>
  </si>
  <si>
    <t>2240 "Оплата послуг (крім комунальних)" на 2019 рік</t>
  </si>
  <si>
    <t>2282 на 2019 рік</t>
  </si>
  <si>
    <t>2800 на 2019 рік</t>
  </si>
  <si>
    <t>2250 на 2019 рік</t>
  </si>
  <si>
    <t>Відрядні на 2019 рік</t>
  </si>
  <si>
    <t>3110 на 2019 рік</t>
  </si>
  <si>
    <r>
      <t>ФІНАНСОВИЙ ПЛАН ПІДПРИЄМСТВА НА __</t>
    </r>
    <r>
      <rPr>
        <b/>
        <u val="single"/>
        <sz val="14"/>
        <rFont val="Times New Roman"/>
        <family val="1"/>
      </rPr>
      <t xml:space="preserve"> 2019</t>
    </r>
    <r>
      <rPr>
        <b/>
        <sz val="14"/>
        <rFont val="Times New Roman"/>
        <family val="1"/>
      </rPr>
      <t>___ рік</t>
    </r>
  </si>
  <si>
    <t>Керівник      Головний лікар КНП КМР "КМЦ ПМСД"</t>
  </si>
  <si>
    <t>Інші адміністративні витрати (юридичні послуги, штрафи, пені, неустойки)</t>
  </si>
  <si>
    <t>Юридичні послуги, штрафи, пені, неустойки</t>
  </si>
  <si>
    <r>
      <t xml:space="preserve">Витрати, не підтверджені документально, на харчування та фінансування інших власних потреб фізичної особи (добові витрати) - </t>
    </r>
    <r>
      <rPr>
        <b/>
        <sz val="11"/>
        <color indexed="8"/>
        <rFont val="Arial"/>
        <family val="2"/>
      </rPr>
      <t>Розмір</t>
    </r>
    <r>
      <rPr>
        <sz val="11"/>
        <color indexed="8"/>
        <rFont val="Arial"/>
        <family val="2"/>
      </rPr>
      <t xml:space="preserve"> 0,1 розміру МЗП, встановленої законом на 1 січня податкового (звітного) року, в розрахунку за кожен календарний день - СУМА </t>
    </r>
    <r>
      <rPr>
        <b/>
        <sz val="11"/>
        <color indexed="8"/>
        <rFont val="Arial"/>
        <family val="2"/>
      </rPr>
      <t>(у межах України) 372,30 грн.</t>
    </r>
  </si>
  <si>
    <r>
      <t>Відрядження (Витрати, не підтверджені документально, на харчування та фінансування інших власних потреб фізичної особи (добові витрати) -</t>
    </r>
    <r>
      <rPr>
        <b/>
        <sz val="12"/>
        <rFont val="Times New Roman"/>
        <family val="1"/>
      </rPr>
      <t xml:space="preserve"> Розмір</t>
    </r>
    <r>
      <rPr>
        <sz val="12"/>
        <rFont val="Times New Roman"/>
        <family val="1"/>
      </rPr>
      <t xml:space="preserve"> 0,1 розміру МЗП, встановленої законом на 1 січня податкового (звітного) року, в розрахунку за кожен календарний день - </t>
    </r>
    <r>
      <rPr>
        <b/>
        <sz val="12"/>
        <rFont val="Times New Roman"/>
        <family val="1"/>
      </rPr>
      <t>СУМА</t>
    </r>
    <r>
      <rPr>
        <sz val="12"/>
        <rFont val="Times New Roman"/>
        <family val="1"/>
      </rPr>
      <t xml:space="preserve"> (у межах України) 372,30 грн.)</t>
    </r>
  </si>
  <si>
    <t>Граничні норми добових витрат визначено абз. 6 пп. 170.9.1 ПКУ для цілей оподаткування ПДФО та військовим збором. Наведені норми встановлено для працівників підприємств усіх форм власності, крім державних службовців та осіб, які направляються у відрядження підприємствами, що повністю або частково утримуються за рахунок бюджетних коштів, для яких постановою КМУ від 02.02.2011 р. N 98 встановлено окремі норми. </t>
  </si>
  <si>
    <t>180, 264</t>
  </si>
  <si>
    <t>Витрати на оплату праці основним працівникам</t>
  </si>
  <si>
    <t>Витрати на оплату праці адміністративному персоналу</t>
  </si>
  <si>
    <t>181, 265</t>
  </si>
  <si>
    <t>Відрахування на соціальні заходи (нарахування на заробітну плату)</t>
  </si>
  <si>
    <t>Відрахування на соціальні заходи основним працівникам</t>
  </si>
  <si>
    <t>Відрахування на соціальні заходи адміністративному персоналу</t>
  </si>
  <si>
    <t>160, 266, 267</t>
  </si>
  <si>
    <t>Послуги з надання в оренду чи лізингу нежитлової нерухомості (оренда приміщення в ЦРЛ)</t>
  </si>
  <si>
    <t>Виготовлення електронних ключів та електронно-цифрових підписів</t>
  </si>
  <si>
    <t>Послуги у сфері охорони здоров’я (оплата реагентів для проведення аналізів у лабораторії Коломийської ЦРЛ)</t>
  </si>
  <si>
    <t>39710000-2</t>
  </si>
  <si>
    <t>38410000-2</t>
  </si>
  <si>
    <t>79110000-8</t>
  </si>
  <si>
    <t>85140000-2</t>
  </si>
  <si>
    <t>Послуги у сфері охорони здоров’я різні</t>
  </si>
  <si>
    <t>розподіл</t>
  </si>
  <si>
    <t>трансп.</t>
  </si>
  <si>
    <t>ВТ</t>
  </si>
  <si>
    <t>34420000-7</t>
  </si>
  <si>
    <t>Моторолери та моторизовані велосипеди</t>
  </si>
  <si>
    <t>Звіт</t>
  </si>
  <si>
    <t>.03.2019</t>
  </si>
  <si>
    <t>.02.2019</t>
  </si>
  <si>
    <t>31120000-3</t>
  </si>
  <si>
    <t>Генератор</t>
  </si>
  <si>
    <t>.01.2019</t>
  </si>
  <si>
    <t>22210000-5</t>
  </si>
  <si>
    <t>Газети</t>
  </si>
  <si>
    <t>22810000-1</t>
  </si>
  <si>
    <t>22850000-3</t>
  </si>
  <si>
    <t>Бланки</t>
  </si>
  <si>
    <t>Паперові чи картонні реєстраційні журнали</t>
  </si>
  <si>
    <t>Швидкозшивачі та супутнє приладдя</t>
  </si>
  <si>
    <t>30120000-6</t>
  </si>
  <si>
    <t>30190000-7</t>
  </si>
  <si>
    <t>30230000-0</t>
  </si>
  <si>
    <t>31210000-1</t>
  </si>
  <si>
    <t>Електрична апаратура для комутування та захисту електричних кіл</t>
  </si>
  <si>
    <t>Мережеві кабелі</t>
  </si>
  <si>
    <t>31310000-2</t>
  </si>
  <si>
    <t>31530000-0</t>
  </si>
  <si>
    <t>Частини до світильників та освітлювального обладнання</t>
  </si>
  <si>
    <t>31520000-7</t>
  </si>
  <si>
    <t>Світильники та освітлювальна арматура</t>
  </si>
  <si>
    <t>34310000-3</t>
  </si>
  <si>
    <t>Двигуни та їх частини</t>
  </si>
  <si>
    <t>34320000-6</t>
  </si>
  <si>
    <t>Механічні запасні частини, крім двигунів і частин двигунів</t>
  </si>
  <si>
    <t>34330000-9</t>
  </si>
  <si>
    <t>Запасні частини до вантажних транспортних засобів, фургонів та легкових автомобілів</t>
  </si>
  <si>
    <t>34350000-5</t>
  </si>
  <si>
    <t>Шини для транспортних засобів великої та малої тоннажності</t>
  </si>
  <si>
    <t>39110000-6</t>
  </si>
  <si>
    <t>Сидіння, стільці та супутні вироби і частини до них</t>
  </si>
  <si>
    <t>39120000-9</t>
  </si>
  <si>
    <t>Столи, серванти, письмові столи та книжкові шафи</t>
  </si>
  <si>
    <t>39130000-2</t>
  </si>
  <si>
    <t>Офісні меблі</t>
  </si>
  <si>
    <t>39220000-0</t>
  </si>
  <si>
    <t>Кухонне приладдя, товари для дому та господарства і приладдя для закладів громадського харчування (Мітли, щітки та інше господарське приладдя)</t>
  </si>
  <si>
    <t>39510000-0</t>
  </si>
  <si>
    <t>39810000-3</t>
  </si>
  <si>
    <t>Ароматизатори та воски</t>
  </si>
  <si>
    <t>39830000-9</t>
  </si>
  <si>
    <t>Продукція для чищення</t>
  </si>
  <si>
    <t>44110000-4</t>
  </si>
  <si>
    <t>44810000-1</t>
  </si>
  <si>
    <t>Фарби</t>
  </si>
  <si>
    <t>44830000-7</t>
  </si>
  <si>
    <t>Мастики, шпаклівки, замазки та розчинники</t>
  </si>
  <si>
    <t>44920000-5</t>
  </si>
  <si>
    <t>Вапняк, гіпс і крейда (Вапно)</t>
  </si>
  <si>
    <t>Столярні вироби (Вікна, двері)</t>
  </si>
  <si>
    <t>Лічильні прилади</t>
  </si>
  <si>
    <t>Електричні побутові прилади</t>
  </si>
  <si>
    <t>31410000-3</t>
  </si>
  <si>
    <t>Гальванічні елементи</t>
  </si>
  <si>
    <t>18420000-9</t>
  </si>
  <si>
    <t>Аксесуари для одягу (Одноразові рукавички)</t>
  </si>
  <si>
    <t>22990000-6</t>
  </si>
  <si>
    <t>Газетний папір, папір ручного виготовлення та інший некрейдований папір або картон для графічних цілей</t>
  </si>
  <si>
    <t>31710000-6</t>
  </si>
  <si>
    <t>Електронне обладнання</t>
  </si>
  <si>
    <t>33140000-3</t>
  </si>
  <si>
    <t>Медичні матеріали (Шприци, перев'язувальний матеріал, стерильні рукавички, контейнери, медичні комплекти, ланцети)</t>
  </si>
  <si>
    <t>33120000-7</t>
  </si>
  <si>
    <t>Системи реєстрації медичної інформації та дослідне обладнання (індикаторні смужки, тест-смужки)</t>
  </si>
  <si>
    <t>33190000-8</t>
  </si>
  <si>
    <t>Медичне обладнання та вироби медичного призначення різні (меблі медичні, пробірки, штативи, одяг для медперсоналу, аптечки)</t>
  </si>
  <si>
    <t>38310000-1</t>
  </si>
  <si>
    <t>Високоточні терези (Електронні ваги дорослі та дитячі)</t>
  </si>
  <si>
    <t>Покривання підлоги та стін (Леонтовича 190,0, Чорновола 190,0, Шевченка 190,0)</t>
  </si>
  <si>
    <t>98390000-3</t>
  </si>
  <si>
    <t>65310000-9</t>
  </si>
  <si>
    <t>Розподіл електричної енергії</t>
  </si>
  <si>
    <t>38430000-8</t>
  </si>
  <si>
    <t>42930000-4</t>
  </si>
  <si>
    <t>Центрифуги, вальцювальні машини чи торгові автомати</t>
  </si>
  <si>
    <t>Детектори та аналізатори (Біохімічний аналізатор, гематологічний аналізатор, аналізатори сечі)</t>
  </si>
  <si>
    <t>.08.2019</t>
  </si>
  <si>
    <t>Фотокопіювальне та поліграфічне обладнання для офсетного друку (Принтери, картриджи)</t>
  </si>
  <si>
    <t>Офісне устаткування та приладдя різне (Папір ксероксний, офісне приладдя, дрібне канцелярське приладдя)</t>
  </si>
  <si>
    <t>Вироби домашнього текстилю (Ковдри, подушки, лікарняна білизна)</t>
  </si>
  <si>
    <t>Конструкційні матеріали (Цемент, труби та арматура, цвяхи)</t>
  </si>
  <si>
    <t>09130000-9</t>
  </si>
  <si>
    <t>Нафта і дистиляти (Бензин марки А-92)</t>
  </si>
  <si>
    <t>Інші послуги (99999999-9 - оплата кварплати приміщення за адресою вул. Привокзальна, 13)</t>
  </si>
  <si>
    <t>Інші надходження (оренда)</t>
  </si>
  <si>
    <t>залишок на 1.01.</t>
  </si>
  <si>
    <t>залишок на 1.02.</t>
  </si>
  <si>
    <t>залишок на 1.03.</t>
  </si>
  <si>
    <t>з 1715,66 мінус 20% ПДВ, мінус 30% дохід бюджету міста</t>
  </si>
  <si>
    <t>залишок за попередній рік 1486391,61</t>
  </si>
  <si>
    <t>сума по договору 23 932 258,00 грн.</t>
  </si>
  <si>
    <t>сума по гранду 503728,0 грн.</t>
  </si>
  <si>
    <t>Договір НСЗУ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</si>
  <si>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</si>
  <si>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</si>
  <si>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</si>
  <si>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</si>
  <si>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</si>
  <si>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</si>
  <si>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</si>
  <si>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</si>
  <si>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</si>
  <si>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</si>
  <si>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</si>
  <si>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</si>
  <si>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помісячно</t>
  </si>
  <si>
    <t>поквартально</t>
  </si>
  <si>
    <t>Грант</t>
  </si>
  <si>
    <t>гранти</t>
  </si>
  <si>
    <t>Інші програми та заходи у сфері охорони здоров’я (гранти)</t>
  </si>
  <si>
    <t>Дохід  (виручка) від фінансової діяльності та інші доходи (кредити, позики, гранти, депозити, оренда приміщень і т.д.)</t>
  </si>
  <si>
    <t>доходи з місцевого бюджету цільового фінансування по капітальних видатках; резервний фонд (в т. ч. залишки за минулий період)</t>
  </si>
  <si>
    <t>Всього по фінплану</t>
  </si>
  <si>
    <t>договір НСЗУ+Грант+Залишок 2018+депозит+Оренда</t>
  </si>
  <si>
    <t>є</t>
  </si>
  <si>
    <t>має бути</t>
  </si>
  <si>
    <t>різниця</t>
  </si>
  <si>
    <t>залишок за попередній рік</t>
  </si>
  <si>
    <t>=N42+N45+N46+N51+N54+N55+N56+N57</t>
  </si>
  <si>
    <t>=N42+N45+N46+N51+SUM(N52:N59)</t>
  </si>
  <si>
    <t>=SUM(N43:N44)</t>
  </si>
  <si>
    <t>=SUM(N47:N50)</t>
  </si>
  <si>
    <t>=SUM(N61:N71)</t>
  </si>
  <si>
    <t>=SUM(N73:N74)</t>
  </si>
  <si>
    <t>=N52+N64</t>
  </si>
  <si>
    <t>=N53+N65</t>
  </si>
  <si>
    <t>=N58+N70</t>
  </si>
  <si>
    <t>=N59+N61+N62+N63+N66+N67+N68+N69+N71+N75</t>
  </si>
  <si>
    <t>15980000-1</t>
  </si>
  <si>
    <t>Штормовий одяг (Корпоративна уніформа)</t>
  </si>
  <si>
    <t>18220000-7</t>
  </si>
  <si>
    <t>Електричні лампи розжарення</t>
  </si>
  <si>
    <t>31510000-4</t>
  </si>
  <si>
    <t>32230000-4</t>
  </si>
  <si>
    <t>Мобільні телефони</t>
  </si>
  <si>
    <t>32250000-0</t>
  </si>
  <si>
    <t>32320000-2</t>
  </si>
  <si>
    <t>Мікрофони та гучномовці</t>
  </si>
  <si>
    <t>32340000-8</t>
  </si>
  <si>
    <t>Телефонне обладнання (Міні-АТС)</t>
  </si>
  <si>
    <t>32550000-3</t>
  </si>
  <si>
    <t>Допоміжне екіпірування (прапори)</t>
  </si>
  <si>
    <t>35820000-8</t>
  </si>
  <si>
    <t>Інвентар для фітнесу (М'ячі для школи здоров'я)</t>
  </si>
  <si>
    <t>37440000-4</t>
  </si>
  <si>
    <t>Фотографічне обладнання (Фотоапарат)</t>
  </si>
  <si>
    <t>38650000-6</t>
  </si>
  <si>
    <t>Шкільні меблі</t>
  </si>
  <si>
    <t>39160000-1</t>
  </si>
  <si>
    <t>Ручні інструменти пневматичні чи моторизовані</t>
  </si>
  <si>
    <t>42650000-7</t>
  </si>
  <si>
    <t>44530000-4</t>
  </si>
  <si>
    <t>Рекламні матеріали, каталоги товарів та посібники (Розробка та друк ліфлетів, плакатів)</t>
  </si>
  <si>
    <t>22460000-2</t>
  </si>
  <si>
    <t>Послуги з ресторанного обслуговування</t>
  </si>
  <si>
    <t>55310000-6</t>
  </si>
  <si>
    <t>Архітектурні, інженерні та планувальні послуги</t>
  </si>
  <si>
    <t>71240000-2</t>
  </si>
  <si>
    <t>72260000-5</t>
  </si>
  <si>
    <t>Рекламні та маркетингові послуги</t>
  </si>
  <si>
    <t>79340000-9</t>
  </si>
  <si>
    <t>79990000-0</t>
  </si>
  <si>
    <t>Послуги з чищення каналізаційних колекторів</t>
  </si>
  <si>
    <t>90470000-2</t>
  </si>
  <si>
    <t>Послуги з виробництва кіноплівки та відеокасет і супутні послуги</t>
  </si>
  <si>
    <t>92110000-5</t>
  </si>
  <si>
    <t>Безалкогольні напої (Мінеральна вода)</t>
  </si>
  <si>
    <t>18920000-4</t>
  </si>
  <si>
    <t>Сумки (Сумка для укладки медичної сестри)</t>
  </si>
  <si>
    <t>22160000-9</t>
  </si>
  <si>
    <t>Буклети</t>
  </si>
  <si>
    <t>Апаратура для передавання радіосигналу з приймальним пристоєм</t>
  </si>
  <si>
    <t>Телевізійне й аудіовізійне обладнання</t>
  </si>
  <si>
    <t>38420000-5</t>
  </si>
  <si>
    <t>Прилади для вимірювання витрат, рівня тиску рідин і газів (Тонометри)</t>
  </si>
  <si>
    <t>39150000-8</t>
  </si>
  <si>
    <t>Меблі та приспособи різні (Стенди різні)</t>
  </si>
  <si>
    <t>39170000-4</t>
  </si>
  <si>
    <t>Магазинні меблі</t>
  </si>
  <si>
    <t>39530000-6</t>
  </si>
  <si>
    <t>Килимові покриття, килимки та килими</t>
  </si>
  <si>
    <t>44420000-0</t>
  </si>
  <si>
    <t>Будівельні товари (Сейф, ущільнювач)</t>
  </si>
  <si>
    <t>44510000-8</t>
  </si>
  <si>
    <t>Знаряддя (Мотики, кайла, сапи, граблі та пляжні граблі)</t>
  </si>
  <si>
    <t>Кріпильні деталі (Кріплення до мультимедійного проектору, телевізорів)</t>
  </si>
  <si>
    <t>Електромонтажні роботи (Встановлення телефонних станцій, монтаж приймально-контрольного охоронної сигналізації, збільшення потужності)</t>
  </si>
  <si>
    <t>45450000-6</t>
  </si>
  <si>
    <t>Інші завершальні будівельні роботи (Капітальний ремонт)</t>
  </si>
  <si>
    <t>72220000-3</t>
  </si>
  <si>
    <t>Консультаційні послуги з питань систем та з технічних питань (МІС)</t>
  </si>
  <si>
    <t>Послуги, пов'язані з програмним забезпеченням (Виготовлення ЕЦП)</t>
  </si>
  <si>
    <t>79820000-8</t>
  </si>
  <si>
    <t>Послуги, пов'язані з друком</t>
  </si>
  <si>
    <t>Різні послуги, пов'язані з діловою сферою (Послуги з інвентаризації)</t>
  </si>
  <si>
    <t>План для корекції</t>
  </si>
  <si>
    <t>Послуги з юридичного консультування та юридичного представництва (Ліцензія)</t>
  </si>
  <si>
    <t>0</t>
  </si>
  <si>
    <t>1400</t>
  </si>
  <si>
    <t>Буртик Марія Володимирівна</t>
  </si>
  <si>
    <t>Марія Буртик</t>
  </si>
  <si>
    <t>кредити / позики / доходи з продажу майна</t>
  </si>
  <si>
    <t>Керівник     Директор КНП КМР "КМЦ ПМСД"</t>
  </si>
  <si>
    <t>від 26.12.2019р.  № 4295-56/2019</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</si>
</sst>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0_₴_-;\-* #,##0.00_₴_-;_-* &quot;-&quot;??_₴_-;_-@_-"/>
    <numFmt numFmtId="175" formatCode="_-* #,##0.00_р_._-;\-* #,##0.00_р_._-;_-* &quot;-&quot;??_р_._-;_-@_-"/>
    <numFmt numFmtId="176" formatCode="mm/yyyy"/>
    <numFmt numFmtId="177" formatCode="0.000"/>
    <numFmt numFmtId="178" formatCode="_(* #,##0_);_(* \(#,##0\);_(* &quot;-&quot;_);_(@_)"/>
    <numFmt numFmtId="179" formatCode="_(* #,##0.0_);_(* \(#,##0.0\);_(* &quot;-&quot;_);_(@_)"/>
    <numFmt numFmtId="180" formatCode="#,##0.0"/>
    <numFmt numFmtId="181" formatCode="_-* #,##0.0\ _₽_-;\-* #,##0.0\ _₽_-;_-* &quot;-&quot;?\ _₽_-;_-@_-"/>
    <numFmt numFmtId="182" formatCode="0.000000"/>
    <numFmt numFmtId="183" formatCode="0.0000"/>
    <numFmt numFmtId="184" formatCode="0.0"/>
    <numFmt numFmtId="185" formatCode="_-* #,##0.0_₴_-;\-* #,##0.0_₴_-;_-* &quot;-&quot;?_₴_-;_-@_-"/>
    <numFmt numFmtId="186" formatCode="_-* #,##0.0_р_._-;\-* #,##0.0_р_._-;_-* &quot;-&quot;?_р_._-;_-@_-"/>
    <numFmt numFmtId="187" formatCode="_(* #,##0.00_);_(* \(#,##0.00\);_(* &quot;-&quot;??_);_(@_)"/>
    <numFmt numFmtId="188" formatCode="_(* #,##0_);_(* \(#,##0\);_(* &quot;-&quot;??_);_(@_)"/>
    <numFmt numFmtId="189" formatCode="&quot;$&quot;#,##0.00"/>
    <numFmt numFmtId="190" formatCode="_(* #,##0.0_);_(* \(#,##0.0\);_(* &quot;-&quot;??_);_(@_)"/>
    <numFmt numFmtId="191" formatCode="&quot;$&quot;#,##0"/>
    <numFmt numFmtId="192" formatCode="_(* #,##0.00_);_(* \(#,##0.00\);_(* &quot;-&quot;_);_(@_)"/>
    <numFmt numFmtId="193" formatCode="_-* #,##0.000\ _₽_-;\-* #,##0.000\ _₽_-;_-* &quot;-&quot;??\ _₽_-;_-@_-"/>
    <numFmt numFmtId="194" formatCode="_-* #,##0.0000\ _₽_-;\-* #,##0.0000\ _₽_-;_-* &quot;-&quot;??\ _₽_-;_-@_-"/>
  </numFmts>
  <fonts count="114">
    <font>
      <sz val="11"/>
      <color theme="1"/>
      <name val="Calibri"/>
      <family val="2"/>
    </font>
    <font>
      <sz val="11"/>
      <color indexed="8"/>
      <name val="Calibri"/>
      <family val="2"/>
    </font>
    <font>
      <b/>
      <sz val="5.5"/>
      <name val="Times New Roman"/>
      <family val="1"/>
    </font>
    <font>
      <b/>
      <u val="single"/>
      <sz val="5.5"/>
      <name val="Times New Roman"/>
      <family val="1"/>
    </font>
    <font>
      <b/>
      <sz val="8"/>
      <name val="Times New Roman"/>
      <family val="1"/>
    </font>
    <font>
      <sz val="12"/>
      <name val="Times New Roman"/>
      <family val="1"/>
    </font>
    <font>
      <b/>
      <sz val="14"/>
      <name val="Times New Roman"/>
      <family val="1"/>
    </font>
    <font>
      <b/>
      <sz val="10"/>
      <name val="Times New Roman"/>
      <family val="1"/>
    </font>
    <font>
      <b/>
      <sz val="12"/>
      <name val="Times New Roman"/>
      <family val="1"/>
    </font>
    <font>
      <sz val="12"/>
      <name val="Arial Cyr"/>
      <family val="0"/>
    </font>
    <font>
      <sz val="6"/>
      <name val="Times New Roman"/>
      <family val="1"/>
    </font>
    <font>
      <sz val="10"/>
      <name val="Times New Roman"/>
      <family val="1"/>
    </font>
    <font>
      <sz val="10"/>
      <name val="Arial Cyr"/>
      <family val="0"/>
    </font>
    <font>
      <b/>
      <sz val="9"/>
      <name val="Times New Roman"/>
      <family val="1"/>
    </font>
    <font>
      <b/>
      <i/>
      <sz val="9"/>
      <name val="Times New Roman"/>
      <family val="1"/>
    </font>
    <font>
      <sz val="9"/>
      <name val="Times New Roman"/>
      <family val="1"/>
    </font>
    <font>
      <sz val="8"/>
      <name val="Times New Roman"/>
      <family val="1"/>
    </font>
    <font>
      <i/>
      <sz val="9"/>
      <name val="Times New Roman"/>
      <family val="1"/>
    </font>
    <font>
      <sz val="14"/>
      <name val="Times New Roman"/>
      <family val="1"/>
    </font>
    <font>
      <b/>
      <i/>
      <sz val="14"/>
      <name val="Times New Roman"/>
      <family val="1"/>
    </font>
    <font>
      <b/>
      <u val="single"/>
      <sz val="14"/>
      <name val="Times New Roman"/>
      <family val="1"/>
    </font>
    <font>
      <i/>
      <sz val="14"/>
      <name val="Times New Roman"/>
      <family val="1"/>
    </font>
    <font>
      <b/>
      <u val="single"/>
      <sz val="13"/>
      <name val="Times New Roman"/>
      <family val="1"/>
    </font>
    <font>
      <u val="single"/>
      <sz val="13"/>
      <name val="Times New Roman"/>
      <family val="1"/>
    </font>
    <font>
      <b/>
      <sz val="12"/>
      <color indexed="8"/>
      <name val="Times New Roman"/>
      <family val="1"/>
    </font>
    <font>
      <b/>
      <sz val="12"/>
      <color indexed="8"/>
      <name val="Calibri"/>
      <family val="2"/>
    </font>
    <font>
      <sz val="5"/>
      <name val="Times New Roman"/>
      <family val="1"/>
    </font>
    <font>
      <b/>
      <sz val="11"/>
      <name val="Times New Roman"/>
      <family val="1"/>
    </font>
    <font>
      <b/>
      <sz val="11"/>
      <color indexed="8"/>
      <name val="Arial"/>
      <family val="2"/>
    </font>
    <font>
      <sz val="11"/>
      <color indexed="8"/>
      <name val="Arial"/>
      <family val="2"/>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63"/>
      <name val="Arial"/>
      <family val="2"/>
    </font>
    <font>
      <b/>
      <sz val="11"/>
      <color indexed="63"/>
      <name val="Times New Roman"/>
      <family val="1"/>
    </font>
    <font>
      <sz val="12"/>
      <color indexed="8"/>
      <name val="Times New Roman"/>
      <family val="1"/>
    </font>
    <font>
      <sz val="12"/>
      <color indexed="8"/>
      <name val="Calibri"/>
      <family val="2"/>
    </font>
    <font>
      <sz val="10"/>
      <color indexed="8"/>
      <name val="Times New Roman"/>
      <family val="1"/>
    </font>
    <font>
      <b/>
      <sz val="10"/>
      <color indexed="8"/>
      <name val="Times New Roman"/>
      <family val="1"/>
    </font>
    <font>
      <sz val="9"/>
      <color indexed="8"/>
      <name val="Arial"/>
      <family val="2"/>
    </font>
    <font>
      <b/>
      <sz val="11"/>
      <color indexed="8"/>
      <name val="Times New Roman"/>
      <family val="1"/>
    </font>
    <font>
      <b/>
      <sz val="18"/>
      <color indexed="8"/>
      <name val="Times New Roman"/>
      <family val="1"/>
    </font>
    <font>
      <sz val="11"/>
      <color indexed="8"/>
      <name val="Times New Roman"/>
      <family val="1"/>
    </font>
    <font>
      <b/>
      <sz val="14"/>
      <color indexed="8"/>
      <name val="Times New Roman"/>
      <family val="1"/>
    </font>
    <font>
      <sz val="14"/>
      <color indexed="10"/>
      <name val="Times New Roman"/>
      <family val="1"/>
    </font>
    <font>
      <i/>
      <u val="single"/>
      <sz val="12"/>
      <color indexed="8"/>
      <name val="Times New Roman"/>
      <family val="1"/>
    </font>
    <font>
      <sz val="10"/>
      <color indexed="63"/>
      <name val="Arial"/>
      <family val="2"/>
    </font>
    <font>
      <sz val="14"/>
      <color indexed="8"/>
      <name val="Times New Roman"/>
      <family val="1"/>
    </font>
    <font>
      <i/>
      <sz val="14"/>
      <color indexed="8"/>
      <name val="Times New Roman"/>
      <family val="1"/>
    </font>
    <font>
      <b/>
      <sz val="14"/>
      <color indexed="10"/>
      <name val="Times New Roman"/>
      <family val="1"/>
    </font>
    <font>
      <sz val="12"/>
      <color indexed="8"/>
      <name val="Arial Cyr"/>
      <family val="0"/>
    </font>
    <font>
      <sz val="10"/>
      <color indexed="8"/>
      <name val="Arial Cyr"/>
      <family val="0"/>
    </font>
    <font>
      <sz val="9"/>
      <color indexed="57"/>
      <name val="FontAwesome"/>
      <family val="0"/>
    </font>
    <font>
      <sz val="9"/>
      <color indexed="57"/>
      <name val="Arial"/>
      <family val="2"/>
    </font>
    <font>
      <b/>
      <sz val="14.3"/>
      <color indexed="40"/>
      <name val="Verdan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555555"/>
      <name val="Arial"/>
      <family val="2"/>
    </font>
    <font>
      <b/>
      <sz val="11"/>
      <color rgb="FF333333"/>
      <name val="Times New Roman"/>
      <family val="1"/>
    </font>
    <font>
      <sz val="12"/>
      <color theme="1"/>
      <name val="Times New Roman"/>
      <family val="1"/>
    </font>
    <font>
      <sz val="12"/>
      <color theme="1"/>
      <name val="Calibri"/>
      <family val="2"/>
    </font>
    <font>
      <b/>
      <sz val="11"/>
      <color theme="1"/>
      <name val="Arial"/>
      <family val="2"/>
    </font>
    <font>
      <sz val="9"/>
      <color rgb="FF000000"/>
      <name val="Arial"/>
      <family val="2"/>
    </font>
    <font>
      <b/>
      <sz val="11"/>
      <color theme="1"/>
      <name val="Times New Roman"/>
      <family val="1"/>
    </font>
    <font>
      <b/>
      <sz val="18"/>
      <color theme="1"/>
      <name val="Times New Roman"/>
      <family val="1"/>
    </font>
    <font>
      <sz val="10"/>
      <color theme="1"/>
      <name val="Times New Roman"/>
      <family val="2"/>
    </font>
    <font>
      <sz val="11"/>
      <color theme="1"/>
      <name val="Times New Roman"/>
      <family val="1"/>
    </font>
    <font>
      <b/>
      <sz val="14"/>
      <color theme="1"/>
      <name val="Times New Roman"/>
      <family val="1"/>
    </font>
    <font>
      <b/>
      <sz val="12"/>
      <color theme="1"/>
      <name val="Times New Roman"/>
      <family val="1"/>
    </font>
    <font>
      <sz val="14"/>
      <color rgb="FFFF0000"/>
      <name val="Times New Roman"/>
      <family val="1"/>
    </font>
    <font>
      <b/>
      <sz val="10"/>
      <color theme="1"/>
      <name val="Times New Roman"/>
      <family val="1"/>
    </font>
    <font>
      <i/>
      <u val="single"/>
      <sz val="12"/>
      <color theme="1"/>
      <name val="Times New Roman"/>
      <family val="1"/>
    </font>
    <font>
      <sz val="11"/>
      <color theme="1"/>
      <name val="Arial"/>
      <family val="2"/>
    </font>
    <font>
      <sz val="10"/>
      <color rgb="FF555555"/>
      <name val="Arial"/>
      <family val="2"/>
    </font>
    <font>
      <sz val="14"/>
      <color theme="1"/>
      <name val="Times New Roman"/>
      <family val="1"/>
    </font>
    <font>
      <i/>
      <sz val="14"/>
      <color theme="1"/>
      <name val="Times New Roman"/>
      <family val="1"/>
    </font>
    <font>
      <b/>
      <sz val="14"/>
      <color rgb="FFFF0000"/>
      <name val="Times New Roman"/>
      <family val="1"/>
    </font>
    <font>
      <sz val="12"/>
      <color theme="1"/>
      <name val="Arial Cyr"/>
      <family val="0"/>
    </font>
    <font>
      <sz val="10"/>
      <color theme="1"/>
      <name val="Arial Cyr"/>
      <family val="0"/>
    </font>
    <font>
      <sz val="9"/>
      <color rgb="FF468847"/>
      <name val="Arial"/>
      <family val="2"/>
    </font>
    <font>
      <sz val="9"/>
      <color rgb="FF468847"/>
      <name val="FontAwesome"/>
      <family val="0"/>
    </font>
    <font>
      <b/>
      <sz val="14.3"/>
      <color rgb="FF06A2FF"/>
      <name val="Verdan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3F7FA"/>
        <bgColor indexed="64"/>
      </patternFill>
    </fill>
    <fill>
      <patternFill patternType="solid">
        <fgColor rgb="FFEEEEEE"/>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9FFCC"/>
        <bgColor indexed="64"/>
      </patternFill>
    </fill>
    <fill>
      <patternFill patternType="solid">
        <fgColor indexed="43"/>
        <bgColor indexed="64"/>
      </patternFill>
    </fill>
    <fill>
      <patternFill patternType="solid">
        <fgColor rgb="FFFFFF99"/>
        <bgColor indexed="64"/>
      </patternFill>
    </fill>
    <fill>
      <patternFill patternType="solid">
        <fgColor indexed="47"/>
        <bgColor indexed="64"/>
      </patternFill>
    </fill>
    <fill>
      <patternFill patternType="solid">
        <fgColor rgb="FF92D050"/>
        <bgColor indexed="64"/>
      </patternFill>
    </fill>
    <fill>
      <patternFill patternType="solid">
        <fgColor rgb="FFFF0000"/>
        <bgColor indexed="64"/>
      </patternFill>
    </fill>
    <fill>
      <patternFill patternType="solid">
        <fgColor rgb="FFFFCCFF"/>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CFD3D6"/>
      </left>
      <right style="medium">
        <color rgb="FFCFD3D6"/>
      </right>
      <top style="medium">
        <color rgb="FFCFD3D6"/>
      </top>
      <bottom>
        <color indexed="63"/>
      </bottom>
    </border>
    <border>
      <left style="medium">
        <color rgb="FFCFD3D6"/>
      </left>
      <right style="medium">
        <color rgb="FFCFD3D6"/>
      </right>
      <top>
        <color indexed="63"/>
      </top>
      <bottom style="medium">
        <color rgb="FFCFD3D6"/>
      </bottom>
    </border>
    <border>
      <left>
        <color indexed="63"/>
      </left>
      <right>
        <color indexed="63"/>
      </right>
      <top style="medium">
        <color rgb="FFCFD3D6"/>
      </top>
      <bottom>
        <color indexed="63"/>
      </bottom>
    </border>
    <border>
      <left>
        <color indexed="63"/>
      </left>
      <right style="medium">
        <color rgb="FFCFD3D6"/>
      </right>
      <top style="medium">
        <color rgb="FFCFD3D6"/>
      </top>
      <bottom>
        <color indexed="63"/>
      </bottom>
    </border>
    <border>
      <left>
        <color indexed="63"/>
      </left>
      <right style="medium">
        <color rgb="FFCFD3D6"/>
      </right>
      <top>
        <color indexed="63"/>
      </top>
      <bottom>
        <color indexed="63"/>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right style="thin"/>
      <top style="thin"/>
      <bottom>
        <color indexed="63"/>
      </bottom>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7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2" fillId="0" borderId="0">
      <alignment/>
      <protection/>
    </xf>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12" fillId="0" borderId="0">
      <alignment/>
      <protection/>
    </xf>
    <xf numFmtId="0" fontId="83"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88" fillId="32" borderId="0" applyNumberFormat="0" applyBorder="0" applyAlignment="0" applyProtection="0"/>
  </cellStyleXfs>
  <cellXfs count="490">
    <xf numFmtId="0" fontId="0" fillId="0" borderId="0" xfId="0" applyFont="1" applyAlignment="1">
      <alignment/>
    </xf>
    <xf numFmtId="0" fontId="0" fillId="33" borderId="0" xfId="0" applyFill="1" applyAlignment="1">
      <alignment/>
    </xf>
    <xf numFmtId="0" fontId="89" fillId="34" borderId="10" xfId="0" applyFont="1" applyFill="1" applyBorder="1" applyAlignment="1">
      <alignment vertical="top"/>
    </xf>
    <xf numFmtId="0" fontId="75" fillId="34" borderId="11" xfId="42" applyFill="1" applyBorder="1" applyAlignment="1">
      <alignment vertical="top"/>
    </xf>
    <xf numFmtId="0" fontId="89" fillId="35" borderId="10" xfId="0" applyFont="1" applyFill="1" applyBorder="1" applyAlignment="1">
      <alignment vertical="top"/>
    </xf>
    <xf numFmtId="0" fontId="75" fillId="35" borderId="11" xfId="42" applyFill="1" applyBorder="1" applyAlignment="1">
      <alignment vertical="top"/>
    </xf>
    <xf numFmtId="0" fontId="89" fillId="33" borderId="10" xfId="0" applyFont="1" applyFill="1" applyBorder="1" applyAlignment="1">
      <alignment vertical="top"/>
    </xf>
    <xf numFmtId="0" fontId="75" fillId="33" borderId="11" xfId="42" applyFill="1" applyBorder="1" applyAlignment="1">
      <alignment vertical="top"/>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89" fillId="35" borderId="10" xfId="0" applyFont="1" applyFill="1" applyBorder="1" applyAlignment="1">
      <alignment vertical="top" wrapText="1"/>
    </xf>
    <xf numFmtId="0" fontId="89" fillId="35" borderId="11" xfId="0" applyFont="1" applyFill="1" applyBorder="1" applyAlignment="1">
      <alignment vertical="top" wrapText="1"/>
    </xf>
    <xf numFmtId="0" fontId="90"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176" fontId="2" fillId="0" borderId="15" xfId="0" applyNumberFormat="1" applyFont="1" applyBorder="1" applyAlignment="1">
      <alignment horizontal="center" vertical="center" wrapText="1"/>
    </xf>
    <xf numFmtId="0" fontId="3" fillId="0" borderId="15" xfId="0" applyFont="1" applyFill="1" applyBorder="1" applyAlignment="1">
      <alignment horizontal="center" vertical="center" wrapText="1"/>
    </xf>
    <xf numFmtId="0" fontId="91" fillId="0" borderId="15" xfId="0" applyFont="1" applyBorder="1" applyAlignment="1">
      <alignment horizontal="left" vertical="center" wrapText="1"/>
    </xf>
    <xf numFmtId="0" fontId="91" fillId="0" borderId="15" xfId="0" applyFont="1" applyBorder="1" applyAlignment="1">
      <alignment horizontal="center" vertical="center" wrapText="1"/>
    </xf>
    <xf numFmtId="4" fontId="92" fillId="0" borderId="15" xfId="0" applyNumberFormat="1" applyFont="1" applyBorder="1" applyAlignment="1">
      <alignment horizontal="right" vertical="center"/>
    </xf>
    <xf numFmtId="176" fontId="91" fillId="0" borderId="15" xfId="0" applyNumberFormat="1" applyFont="1" applyBorder="1" applyAlignment="1">
      <alignment horizontal="center" vertical="center" wrapText="1"/>
    </xf>
    <xf numFmtId="0" fontId="91" fillId="36" borderId="15" xfId="0" applyFont="1" applyFill="1" applyBorder="1" applyAlignment="1">
      <alignment horizontal="center" vertical="center" wrapText="1"/>
    </xf>
    <xf numFmtId="0" fontId="5" fillId="0" borderId="15" xfId="0" applyFont="1" applyBorder="1" applyAlignment="1">
      <alignment vertical="top" wrapText="1"/>
    </xf>
    <xf numFmtId="0" fontId="5" fillId="0" borderId="15" xfId="0" applyFont="1" applyBorder="1" applyAlignment="1">
      <alignment horizontal="left" vertical="center" wrapText="1"/>
    </xf>
    <xf numFmtId="0" fontId="5" fillId="0" borderId="15" xfId="0" applyFont="1" applyFill="1" applyBorder="1" applyAlignment="1">
      <alignment horizontal="center" vertical="center" wrapText="1"/>
    </xf>
    <xf numFmtId="0" fontId="5" fillId="19" borderId="15" xfId="0" applyFont="1" applyFill="1" applyBorder="1" applyAlignment="1">
      <alignment horizontal="center" vertical="center" wrapText="1"/>
    </xf>
    <xf numFmtId="0" fontId="5" fillId="37" borderId="15" xfId="0" applyFont="1" applyFill="1" applyBorder="1" applyAlignment="1">
      <alignment vertical="top" wrapText="1"/>
    </xf>
    <xf numFmtId="0" fontId="6" fillId="0" borderId="0" xfId="0" applyFont="1" applyAlignment="1">
      <alignment vertical="center"/>
    </xf>
    <xf numFmtId="0" fontId="0" fillId="0" borderId="0" xfId="0" applyFill="1" applyAlignment="1">
      <alignment/>
    </xf>
    <xf numFmtId="0" fontId="6" fillId="0" borderId="0" xfId="0" applyFont="1" applyFill="1" applyAlignment="1">
      <alignment vertical="center"/>
    </xf>
    <xf numFmtId="0" fontId="5" fillId="0" borderId="0" xfId="0" applyFont="1" applyFill="1" applyBorder="1" applyAlignment="1">
      <alignment vertical="top" wrapText="1"/>
    </xf>
    <xf numFmtId="0" fontId="75" fillId="34" borderId="11" xfId="42" applyFill="1" applyBorder="1" applyAlignment="1" applyProtection="1">
      <alignment vertical="top"/>
      <protection/>
    </xf>
    <xf numFmtId="0" fontId="5" fillId="0" borderId="15" xfId="0" applyFont="1" applyBorder="1" applyAlignment="1">
      <alignment vertical="center" wrapText="1"/>
    </xf>
    <xf numFmtId="0" fontId="75" fillId="35" borderId="11" xfId="42" applyFill="1" applyBorder="1" applyAlignment="1" applyProtection="1">
      <alignment vertical="top"/>
      <protection/>
    </xf>
    <xf numFmtId="0" fontId="7" fillId="0" borderId="15" xfId="0" applyFont="1" applyBorder="1" applyAlignment="1">
      <alignment horizontal="left" vertical="center" wrapText="1"/>
    </xf>
    <xf numFmtId="0" fontId="8" fillId="19" borderId="15" xfId="0" applyFont="1" applyFill="1" applyBorder="1" applyAlignment="1">
      <alignment horizontal="center" vertical="center" wrapText="1"/>
    </xf>
    <xf numFmtId="0" fontId="75" fillId="33" borderId="11" xfId="42" applyFill="1" applyBorder="1" applyAlignment="1" applyProtection="1">
      <alignment vertical="top"/>
      <protection/>
    </xf>
    <xf numFmtId="0" fontId="5" fillId="37"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19" borderId="0" xfId="0" applyFont="1" applyFill="1" applyBorder="1" applyAlignment="1">
      <alignment horizontal="center" vertical="center" wrapText="1"/>
    </xf>
    <xf numFmtId="0" fontId="9" fillId="0" borderId="0" xfId="0" applyFont="1" applyAlignment="1">
      <alignment horizontal="center"/>
    </xf>
    <xf numFmtId="0" fontId="5" fillId="0" borderId="15" xfId="0" applyFont="1" applyBorder="1" applyAlignment="1">
      <alignment horizontal="center" vertical="center"/>
    </xf>
    <xf numFmtId="0" fontId="5" fillId="38" borderId="15" xfId="0" applyFont="1" applyFill="1" applyBorder="1" applyAlignment="1">
      <alignment vertical="top" wrapText="1"/>
    </xf>
    <xf numFmtId="0" fontId="5" fillId="0" borderId="15" xfId="0" applyFont="1" applyFill="1" applyBorder="1" applyAlignment="1">
      <alignment horizontal="center" vertical="center"/>
    </xf>
    <xf numFmtId="0" fontId="10" fillId="0" borderId="15" xfId="0" applyFont="1" applyBorder="1" applyAlignment="1">
      <alignment vertical="top" wrapText="1"/>
    </xf>
    <xf numFmtId="0" fontId="5" fillId="0" borderId="15" xfId="0" applyFont="1" applyBorder="1" applyAlignment="1">
      <alignment/>
    </xf>
    <xf numFmtId="0" fontId="8" fillId="0" borderId="15" xfId="0" applyFont="1" applyBorder="1" applyAlignment="1">
      <alignment/>
    </xf>
    <xf numFmtId="0" fontId="9" fillId="0" borderId="0" xfId="0" applyFont="1" applyFill="1" applyAlignment="1">
      <alignment horizontal="center"/>
    </xf>
    <xf numFmtId="0" fontId="5" fillId="39" borderId="15" xfId="0" applyFont="1" applyFill="1" applyBorder="1" applyAlignment="1">
      <alignment vertical="top" wrapText="1"/>
    </xf>
    <xf numFmtId="0" fontId="0" fillId="0" borderId="15" xfId="0" applyBorder="1" applyAlignment="1">
      <alignment/>
    </xf>
    <xf numFmtId="0" fontId="89" fillId="0" borderId="0" xfId="0" applyFont="1" applyFill="1" applyBorder="1" applyAlignment="1">
      <alignment vertical="top"/>
    </xf>
    <xf numFmtId="0" fontId="75" fillId="35" borderId="10" xfId="42" applyFill="1" applyBorder="1" applyAlignment="1" applyProtection="1">
      <alignment vertical="top" wrapText="1"/>
      <protection/>
    </xf>
    <xf numFmtId="0" fontId="89" fillId="37" borderId="10" xfId="0" applyFont="1" applyFill="1" applyBorder="1" applyAlignment="1">
      <alignment vertical="top" wrapText="1"/>
    </xf>
    <xf numFmtId="0" fontId="75" fillId="35" borderId="11" xfId="42" applyFill="1" applyBorder="1" applyAlignment="1" applyProtection="1">
      <alignment vertical="top" wrapText="1"/>
      <protection/>
    </xf>
    <xf numFmtId="0" fontId="89" fillId="37" borderId="11" xfId="0" applyFont="1" applyFill="1" applyBorder="1" applyAlignment="1">
      <alignment vertical="top" wrapText="1"/>
    </xf>
    <xf numFmtId="0" fontId="6" fillId="0" borderId="0" xfId="0" applyFont="1" applyAlignment="1">
      <alignment horizontal="center" vertical="center" wrapText="1"/>
    </xf>
    <xf numFmtId="0" fontId="0" fillId="37" borderId="0" xfId="0" applyFill="1" applyAlignment="1">
      <alignment/>
    </xf>
    <xf numFmtId="0" fontId="91" fillId="37" borderId="15" xfId="0" applyFont="1" applyFill="1" applyBorder="1" applyAlignment="1">
      <alignment horizontal="left" vertical="center" wrapText="1"/>
    </xf>
    <xf numFmtId="0" fontId="91" fillId="37" borderId="15" xfId="0" applyFont="1" applyFill="1" applyBorder="1" applyAlignment="1">
      <alignment horizontal="center" vertical="center" wrapText="1"/>
    </xf>
    <xf numFmtId="4" fontId="92" fillId="37" borderId="15" xfId="0" applyNumberFormat="1" applyFont="1" applyFill="1" applyBorder="1" applyAlignment="1">
      <alignment horizontal="right" vertical="center"/>
    </xf>
    <xf numFmtId="176" fontId="91" fillId="37" borderId="15" xfId="0" applyNumberFormat="1" applyFont="1" applyFill="1" applyBorder="1" applyAlignment="1">
      <alignment horizontal="center" vertical="center" wrapText="1"/>
    </xf>
    <xf numFmtId="4" fontId="92" fillId="0" borderId="15" xfId="0" applyNumberFormat="1" applyFont="1" applyBorder="1" applyAlignment="1">
      <alignment horizontal="center" vertical="center"/>
    </xf>
    <xf numFmtId="2" fontId="0" fillId="0" borderId="0" xfId="0" applyNumberFormat="1" applyAlignment="1">
      <alignment/>
    </xf>
    <xf numFmtId="0" fontId="91" fillId="0" borderId="0" xfId="0" applyFont="1" applyAlignment="1">
      <alignment/>
    </xf>
    <xf numFmtId="0" fontId="6" fillId="0" borderId="0" xfId="0" applyFont="1" applyBorder="1" applyAlignment="1">
      <alignment horizontal="center" vertical="center"/>
    </xf>
    <xf numFmtId="0" fontId="6" fillId="0" borderId="16" xfId="0" applyFont="1" applyBorder="1" applyAlignment="1">
      <alignment vertical="center"/>
    </xf>
    <xf numFmtId="0" fontId="8" fillId="0" borderId="0" xfId="0" applyFont="1" applyBorder="1" applyAlignment="1">
      <alignment horizontal="left" vertical="top" wrapText="1"/>
    </xf>
    <xf numFmtId="0" fontId="0" fillId="0" borderId="0" xfId="0" applyBorder="1" applyAlignment="1">
      <alignment/>
    </xf>
    <xf numFmtId="0" fontId="8" fillId="0" borderId="0" xfId="0" applyFont="1" applyBorder="1" applyAlignment="1">
      <alignment/>
    </xf>
    <xf numFmtId="0" fontId="93" fillId="0" borderId="17" xfId="0" applyFont="1" applyBorder="1" applyAlignment="1">
      <alignment horizontal="center" vertical="center" wrapText="1"/>
    </xf>
    <xf numFmtId="0" fontId="94" fillId="0" borderId="0" xfId="0" applyFont="1" applyAlignment="1">
      <alignment vertical="center" wrapText="1"/>
    </xf>
    <xf numFmtId="0" fontId="75" fillId="0" borderId="0" xfId="42" applyAlignment="1">
      <alignment horizontal="justify" vertical="center" wrapText="1"/>
    </xf>
    <xf numFmtId="0" fontId="95" fillId="0" borderId="0" xfId="0" applyFont="1" applyAlignment="1">
      <alignment/>
    </xf>
    <xf numFmtId="0" fontId="96" fillId="0" borderId="0" xfId="0" applyFont="1" applyAlignment="1">
      <alignment/>
    </xf>
    <xf numFmtId="0" fontId="0" fillId="40" borderId="15" xfId="0" applyFont="1" applyFill="1" applyBorder="1" applyAlignment="1">
      <alignment/>
    </xf>
    <xf numFmtId="0" fontId="97" fillId="40" borderId="15" xfId="0" applyFont="1" applyFill="1" applyBorder="1" applyAlignment="1">
      <alignment horizontal="center" vertical="center" wrapText="1"/>
    </xf>
    <xf numFmtId="0" fontId="97" fillId="40" borderId="16" xfId="0" applyFont="1" applyFill="1" applyBorder="1" applyAlignment="1">
      <alignment horizontal="center"/>
    </xf>
    <xf numFmtId="0" fontId="5" fillId="0" borderId="0" xfId="0" applyFont="1" applyFill="1" applyBorder="1" applyAlignment="1">
      <alignment horizontal="center" vertical="center"/>
    </xf>
    <xf numFmtId="0" fontId="8" fillId="0" borderId="18" xfId="0" applyFont="1" applyBorder="1" applyAlignment="1">
      <alignment horizontal="left" vertical="top" wrapText="1"/>
    </xf>
    <xf numFmtId="0" fontId="98" fillId="0" borderId="0" xfId="0" applyFont="1" applyAlignment="1">
      <alignment/>
    </xf>
    <xf numFmtId="0" fontId="98" fillId="0" borderId="0" xfId="0" applyFont="1" applyAlignment="1">
      <alignment horizontal="center" vertical="center" wrapText="1"/>
    </xf>
    <xf numFmtId="0" fontId="95" fillId="0" borderId="0" xfId="0" applyFont="1" applyAlignment="1">
      <alignment horizontal="center" vertical="center" wrapText="1"/>
    </xf>
    <xf numFmtId="0" fontId="98" fillId="0" borderId="0" xfId="0" applyFont="1" applyAlignment="1">
      <alignment horizontal="center"/>
    </xf>
    <xf numFmtId="0" fontId="98" fillId="0" borderId="0" xfId="0" applyFont="1" applyAlignment="1">
      <alignment horizontal="left" vertical="center" wrapText="1"/>
    </xf>
    <xf numFmtId="0" fontId="98" fillId="0" borderId="0" xfId="0" applyFont="1" applyAlignment="1">
      <alignment horizontal="center" vertical="center"/>
    </xf>
    <xf numFmtId="0" fontId="95" fillId="0" borderId="0" xfId="0" applyFont="1" applyAlignment="1">
      <alignment horizontal="center" vertical="center"/>
    </xf>
    <xf numFmtId="0" fontId="98" fillId="0" borderId="0" xfId="0" applyFont="1" applyAlignment="1">
      <alignment horizontal="right"/>
    </xf>
    <xf numFmtId="0" fontId="95" fillId="0" borderId="15" xfId="0" applyFont="1" applyBorder="1" applyAlignment="1">
      <alignment horizontal="center" vertical="center" wrapText="1"/>
    </xf>
    <xf numFmtId="0" fontId="98" fillId="0" borderId="15" xfId="0" applyFont="1" applyBorder="1" applyAlignment="1">
      <alignment horizontal="center" vertical="center"/>
    </xf>
    <xf numFmtId="0" fontId="98" fillId="0" borderId="15" xfId="0" applyFont="1" applyBorder="1" applyAlignment="1">
      <alignment horizontal="center" vertical="center" wrapText="1"/>
    </xf>
    <xf numFmtId="0" fontId="98" fillId="0" borderId="15" xfId="0" applyFont="1" applyBorder="1" applyAlignment="1">
      <alignment horizontal="left" vertical="center" wrapText="1"/>
    </xf>
    <xf numFmtId="2" fontId="98" fillId="0" borderId="15" xfId="0" applyNumberFormat="1" applyFont="1" applyBorder="1" applyAlignment="1">
      <alignment horizontal="center" vertical="center"/>
    </xf>
    <xf numFmtId="2" fontId="95" fillId="0" borderId="15" xfId="0" applyNumberFormat="1" applyFont="1" applyBorder="1" applyAlignment="1">
      <alignment horizontal="center" vertical="center"/>
    </xf>
    <xf numFmtId="0" fontId="99" fillId="0" borderId="15" xfId="0" applyFont="1" applyBorder="1" applyAlignment="1">
      <alignment horizontal="center" vertical="center" wrapText="1"/>
    </xf>
    <xf numFmtId="0" fontId="7" fillId="0" borderId="0" xfId="49" applyFont="1" applyBorder="1" applyAlignment="1">
      <alignment horizontal="right" vertical="center" wrapText="1"/>
      <protection/>
    </xf>
    <xf numFmtId="0" fontId="13" fillId="0" borderId="15" xfId="49" applyFont="1" applyBorder="1" applyAlignment="1">
      <alignment horizontal="center"/>
      <protection/>
    </xf>
    <xf numFmtId="0" fontId="13" fillId="0" borderId="15" xfId="49" applyFont="1" applyBorder="1" applyAlignment="1">
      <alignment horizontal="center" vertical="center" wrapText="1"/>
      <protection/>
    </xf>
    <xf numFmtId="0" fontId="13" fillId="0" borderId="0" xfId="49" applyFont="1" applyBorder="1" applyAlignment="1">
      <alignment horizontal="center"/>
      <protection/>
    </xf>
    <xf numFmtId="0" fontId="5" fillId="0" borderId="0" xfId="49" applyFont="1" applyBorder="1" applyAlignment="1">
      <alignment horizontal="center" vertical="center"/>
      <protection/>
    </xf>
    <xf numFmtId="2" fontId="5" fillId="0" borderId="0" xfId="49" applyNumberFormat="1" applyFont="1" applyBorder="1" applyAlignment="1">
      <alignment horizontal="center" vertical="center"/>
      <protection/>
    </xf>
    <xf numFmtId="2" fontId="14" fillId="0" borderId="15" xfId="49" applyNumberFormat="1" applyFont="1" applyBorder="1" applyAlignment="1">
      <alignment horizontal="center" vertical="center"/>
      <protection/>
    </xf>
    <xf numFmtId="2" fontId="13" fillId="0" borderId="15" xfId="49" applyNumberFormat="1" applyFont="1" applyBorder="1" applyAlignment="1">
      <alignment horizontal="center" vertical="center"/>
      <protection/>
    </xf>
    <xf numFmtId="2" fontId="13" fillId="0" borderId="0" xfId="49" applyNumberFormat="1" applyFont="1" applyBorder="1" applyAlignment="1">
      <alignment horizontal="center" vertical="center"/>
      <protection/>
    </xf>
    <xf numFmtId="0" fontId="7" fillId="0" borderId="15" xfId="49" applyFont="1" applyBorder="1" applyAlignment="1">
      <alignment horizontal="left" vertical="center" wrapText="1"/>
      <protection/>
    </xf>
    <xf numFmtId="0" fontId="11" fillId="0" borderId="15" xfId="49" applyFont="1" applyBorder="1" applyAlignment="1">
      <alignment horizontal="center"/>
      <protection/>
    </xf>
    <xf numFmtId="2" fontId="15" fillId="0" borderId="15" xfId="49" applyNumberFormat="1" applyFont="1" applyBorder="1" applyAlignment="1">
      <alignment horizontal="center" vertical="center"/>
      <protection/>
    </xf>
    <xf numFmtId="2" fontId="15" fillId="0" borderId="0" xfId="49" applyNumberFormat="1" applyFont="1" applyBorder="1" applyAlignment="1">
      <alignment horizontal="center" vertical="center"/>
      <protection/>
    </xf>
    <xf numFmtId="0" fontId="16" fillId="0" borderId="15" xfId="49" applyFont="1" applyBorder="1" applyAlignment="1">
      <alignment horizontal="left" vertical="center" wrapText="1"/>
      <protection/>
    </xf>
    <xf numFmtId="0" fontId="4" fillId="0" borderId="15" xfId="49" applyFont="1" applyBorder="1" applyAlignment="1">
      <alignment horizontal="left" vertical="center" wrapText="1"/>
      <protection/>
    </xf>
    <xf numFmtId="2" fontId="14" fillId="0" borderId="0" xfId="49" applyNumberFormat="1" applyFont="1" applyBorder="1" applyAlignment="1">
      <alignment horizontal="center" vertical="center"/>
      <protection/>
    </xf>
    <xf numFmtId="0" fontId="11" fillId="0" borderId="15" xfId="49" applyFont="1" applyBorder="1" applyAlignment="1">
      <alignment horizontal="left" vertical="center" wrapText="1"/>
      <protection/>
    </xf>
    <xf numFmtId="2" fontId="15" fillId="0" borderId="15" xfId="49" applyNumberFormat="1" applyFont="1" applyFill="1" applyBorder="1" applyAlignment="1">
      <alignment horizontal="center" vertical="center"/>
      <protection/>
    </xf>
    <xf numFmtId="0" fontId="11" fillId="0" borderId="19" xfId="49" applyFont="1" applyFill="1" applyBorder="1" applyAlignment="1">
      <alignment horizontal="left" vertical="center" wrapText="1"/>
      <protection/>
    </xf>
    <xf numFmtId="2" fontId="17" fillId="0" borderId="15" xfId="49" applyNumberFormat="1" applyFont="1" applyFill="1" applyBorder="1" applyAlignment="1">
      <alignment horizontal="center" vertical="center"/>
      <protection/>
    </xf>
    <xf numFmtId="2" fontId="17" fillId="0" borderId="0" xfId="49" applyNumberFormat="1" applyFont="1" applyFill="1" applyBorder="1" applyAlignment="1">
      <alignment horizontal="center" vertical="center"/>
      <protection/>
    </xf>
    <xf numFmtId="0" fontId="15" fillId="0" borderId="15" xfId="49" applyFont="1" applyBorder="1" applyAlignment="1">
      <alignment horizontal="left" vertical="center" wrapText="1"/>
      <protection/>
    </xf>
    <xf numFmtId="0" fontId="8" fillId="0" borderId="0" xfId="49" applyFont="1" applyAlignment="1">
      <alignment horizontal="left" vertical="center" wrapText="1"/>
      <protection/>
    </xf>
    <xf numFmtId="0" fontId="8" fillId="0" borderId="0" xfId="49" applyFont="1">
      <alignment/>
      <protection/>
    </xf>
    <xf numFmtId="2" fontId="8" fillId="0" borderId="0" xfId="49" applyNumberFormat="1" applyFont="1">
      <alignment/>
      <protection/>
    </xf>
    <xf numFmtId="0" fontId="12" fillId="0" borderId="0" xfId="49">
      <alignment/>
      <protection/>
    </xf>
    <xf numFmtId="0" fontId="5" fillId="37" borderId="15" xfId="0" applyFont="1" applyFill="1" applyBorder="1" applyAlignment="1">
      <alignment horizontal="center" vertical="center"/>
    </xf>
    <xf numFmtId="0" fontId="98" fillId="0" borderId="15" xfId="0" applyFont="1" applyBorder="1" applyAlignment="1">
      <alignment horizontal="center" vertical="center" wrapText="1"/>
    </xf>
    <xf numFmtId="0" fontId="100" fillId="0" borderId="15" xfId="0" applyFont="1" applyBorder="1" applyAlignment="1">
      <alignment horizontal="center" vertical="center" wrapText="1"/>
    </xf>
    <xf numFmtId="0" fontId="98" fillId="0" borderId="15" xfId="0" applyFont="1" applyBorder="1" applyAlignment="1">
      <alignment vertical="center" wrapText="1"/>
    </xf>
    <xf numFmtId="0" fontId="98" fillId="0" borderId="20" xfId="0" applyFont="1" applyFill="1" applyBorder="1" applyAlignment="1">
      <alignment horizontal="center" vertical="center" wrapText="1"/>
    </xf>
    <xf numFmtId="0" fontId="7" fillId="37" borderId="0" xfId="49" applyFont="1" applyFill="1" applyBorder="1" applyAlignment="1">
      <alignment horizontal="right" vertical="center" wrapText="1"/>
      <protection/>
    </xf>
    <xf numFmtId="0" fontId="13" fillId="37" borderId="0" xfId="49" applyFont="1" applyFill="1" applyBorder="1" applyAlignment="1">
      <alignment horizontal="center"/>
      <protection/>
    </xf>
    <xf numFmtId="0" fontId="5" fillId="37" borderId="0" xfId="49" applyFont="1" applyFill="1" applyBorder="1" applyAlignment="1">
      <alignment horizontal="center" vertical="center"/>
      <protection/>
    </xf>
    <xf numFmtId="2" fontId="13" fillId="37" borderId="0" xfId="49" applyNumberFormat="1" applyFont="1" applyFill="1" applyBorder="1" applyAlignment="1">
      <alignment horizontal="center" vertical="center"/>
      <protection/>
    </xf>
    <xf numFmtId="2" fontId="15" fillId="37" borderId="0" xfId="49" applyNumberFormat="1" applyFont="1" applyFill="1" applyBorder="1" applyAlignment="1">
      <alignment horizontal="center" vertical="center"/>
      <protection/>
    </xf>
    <xf numFmtId="2" fontId="14" fillId="37" borderId="0" xfId="49" applyNumberFormat="1" applyFont="1" applyFill="1" applyBorder="1" applyAlignment="1">
      <alignment horizontal="center" vertical="center"/>
      <protection/>
    </xf>
    <xf numFmtId="2" fontId="17" fillId="37" borderId="0" xfId="49" applyNumberFormat="1" applyFont="1" applyFill="1" applyBorder="1" applyAlignment="1">
      <alignment horizontal="center" vertical="center"/>
      <protection/>
    </xf>
    <xf numFmtId="0" fontId="12" fillId="37" borderId="0" xfId="49" applyFill="1">
      <alignment/>
      <protection/>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15" xfId="0" applyFont="1" applyFill="1" applyBorder="1" applyAlignment="1">
      <alignment vertical="center"/>
    </xf>
    <xf numFmtId="0" fontId="18" fillId="0" borderId="15" xfId="0" applyFont="1" applyFill="1" applyBorder="1" applyAlignment="1">
      <alignment horizontal="center" vertical="center"/>
    </xf>
    <xf numFmtId="0" fontId="18" fillId="0" borderId="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vertical="center" wrapText="1"/>
    </xf>
    <xf numFmtId="0" fontId="18" fillId="0" borderId="18" xfId="0" applyFont="1" applyFill="1" applyBorder="1" applyAlignment="1">
      <alignment vertical="center"/>
    </xf>
    <xf numFmtId="0" fontId="18" fillId="0" borderId="22" xfId="0" applyFont="1" applyFill="1" applyBorder="1" applyAlignment="1">
      <alignment vertical="center"/>
    </xf>
    <xf numFmtId="0" fontId="18" fillId="0" borderId="18" xfId="0" applyFont="1" applyFill="1" applyBorder="1" applyAlignment="1">
      <alignment vertical="center" wrapText="1"/>
    </xf>
    <xf numFmtId="0" fontId="18" fillId="0" borderId="23" xfId="0" applyFont="1" applyFill="1" applyBorder="1" applyAlignment="1">
      <alignment vertical="center" wrapText="1"/>
    </xf>
    <xf numFmtId="0" fontId="18" fillId="0" borderId="24" xfId="0" applyFont="1" applyFill="1" applyBorder="1" applyAlignment="1">
      <alignment vertical="center"/>
    </xf>
    <xf numFmtId="0" fontId="18" fillId="0" borderId="15" xfId="0" applyFont="1" applyFill="1" applyBorder="1" applyAlignment="1">
      <alignment horizontal="center" vertical="center" wrapText="1"/>
    </xf>
    <xf numFmtId="0" fontId="18" fillId="0" borderId="15"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shrinkToFit="1"/>
    </xf>
    <xf numFmtId="0" fontId="6" fillId="0" borderId="15" xfId="0" applyFont="1" applyFill="1" applyBorder="1" applyAlignment="1">
      <alignment horizontal="left" vertical="center" wrapText="1"/>
    </xf>
    <xf numFmtId="0" fontId="6" fillId="0" borderId="0" xfId="0" applyFont="1" applyFill="1" applyBorder="1" applyAlignment="1">
      <alignment vertical="center"/>
    </xf>
    <xf numFmtId="0" fontId="18" fillId="0" borderId="15" xfId="0" applyFont="1" applyFill="1" applyBorder="1" applyAlignment="1">
      <alignment horizontal="left" vertical="center" wrapText="1"/>
    </xf>
    <xf numFmtId="0" fontId="18" fillId="0" borderId="15" xfId="0" applyFont="1" applyFill="1" applyBorder="1" applyAlignment="1" quotePrefix="1">
      <alignment horizontal="center" vertical="center"/>
    </xf>
    <xf numFmtId="178" fontId="18" fillId="0" borderId="15" xfId="0" applyNumberFormat="1" applyFont="1" applyFill="1" applyBorder="1" applyAlignment="1">
      <alignment horizontal="center" vertical="center" wrapText="1"/>
    </xf>
    <xf numFmtId="179" fontId="18" fillId="41" borderId="15" xfId="0" applyNumberFormat="1" applyFont="1" applyFill="1" applyBorder="1" applyAlignment="1">
      <alignment horizontal="center" vertical="center" wrapText="1"/>
    </xf>
    <xf numFmtId="179" fontId="18"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Fill="1" applyBorder="1" applyAlignment="1" quotePrefix="1">
      <alignment horizontal="center" vertical="center"/>
    </xf>
    <xf numFmtId="178" fontId="18" fillId="41" borderId="15" xfId="0" applyNumberFormat="1" applyFont="1" applyFill="1" applyBorder="1" applyAlignment="1">
      <alignment horizontal="center" vertical="center" wrapText="1"/>
    </xf>
    <xf numFmtId="179" fontId="6" fillId="41" borderId="15" xfId="0" applyNumberFormat="1" applyFont="1" applyFill="1" applyBorder="1" applyAlignment="1">
      <alignment horizontal="center" vertical="center" wrapText="1"/>
    </xf>
    <xf numFmtId="178" fontId="18" fillId="42" borderId="15" xfId="0" applyNumberFormat="1" applyFont="1" applyFill="1" applyBorder="1" applyAlignment="1">
      <alignment horizontal="center" vertical="center" wrapText="1"/>
    </xf>
    <xf numFmtId="179" fontId="18" fillId="42" borderId="15" xfId="0" applyNumberFormat="1" applyFont="1" applyFill="1" applyBorder="1" applyAlignment="1">
      <alignment horizontal="center" vertical="center" wrapText="1"/>
    </xf>
    <xf numFmtId="0" fontId="18" fillId="0" borderId="0" xfId="0" applyFont="1" applyFill="1" applyAlignment="1">
      <alignment vertical="center"/>
    </xf>
    <xf numFmtId="0" fontId="21" fillId="0" borderId="15" xfId="0" applyFont="1" applyFill="1" applyBorder="1" applyAlignment="1">
      <alignment horizontal="center" vertical="center" wrapText="1"/>
    </xf>
    <xf numFmtId="179" fontId="101" fillId="0" borderId="15" xfId="0" applyNumberFormat="1" applyFont="1" applyFill="1" applyBorder="1" applyAlignment="1">
      <alignment horizontal="center" vertical="center" wrapText="1"/>
    </xf>
    <xf numFmtId="179" fontId="6" fillId="42" borderId="15" xfId="0" applyNumberFormat="1" applyFont="1" applyFill="1" applyBorder="1" applyAlignment="1">
      <alignment horizontal="center" vertical="center" wrapText="1"/>
    </xf>
    <xf numFmtId="178" fontId="18" fillId="0" borderId="0" xfId="0" applyNumberFormat="1" applyFont="1" applyFill="1" applyAlignment="1">
      <alignment vertical="center"/>
    </xf>
    <xf numFmtId="0" fontId="21" fillId="0" borderId="15" xfId="0" applyFont="1" applyFill="1" applyBorder="1" applyAlignment="1">
      <alignment horizontal="center" vertical="center"/>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0" fontId="6" fillId="0" borderId="22" xfId="0" applyFont="1" applyFill="1" applyBorder="1" applyAlignment="1">
      <alignment vertical="center" wrapText="1"/>
    </xf>
    <xf numFmtId="0" fontId="18" fillId="0" borderId="15" xfId="0" applyNumberFormat="1" applyFont="1" applyFill="1" applyBorder="1" applyAlignment="1" quotePrefix="1">
      <alignment horizontal="center" vertical="center" wrapText="1"/>
    </xf>
    <xf numFmtId="178" fontId="6" fillId="41" borderId="15"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21" fillId="0" borderId="15" xfId="0" applyNumberFormat="1" applyFont="1" applyFill="1" applyBorder="1" applyAlignment="1" quotePrefix="1">
      <alignment horizontal="center" vertical="center" wrapText="1"/>
    </xf>
    <xf numFmtId="0" fontId="18" fillId="0" borderId="15"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0" fontId="6" fillId="0" borderId="15" xfId="0" applyFont="1" applyFill="1" applyBorder="1" applyAlignment="1" quotePrefix="1">
      <alignment horizontal="center" vertical="center"/>
    </xf>
    <xf numFmtId="178" fontId="6" fillId="43" borderId="15" xfId="0" applyNumberFormat="1" applyFont="1" applyFill="1" applyBorder="1" applyAlignment="1">
      <alignment horizontal="center" vertical="center" wrapText="1"/>
    </xf>
    <xf numFmtId="179" fontId="6" fillId="43"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0" fontId="18" fillId="0" borderId="0" xfId="0" applyFont="1" applyFill="1" applyBorder="1" applyAlignment="1" quotePrefix="1">
      <alignment horizontal="center" vertical="center"/>
    </xf>
    <xf numFmtId="178" fontId="18" fillId="0" borderId="0" xfId="0" applyNumberFormat="1" applyFont="1" applyFill="1" applyBorder="1" applyAlignment="1">
      <alignment horizontal="center" vertical="center" wrapText="1"/>
    </xf>
    <xf numFmtId="180" fontId="18" fillId="0" borderId="0" xfId="0" applyNumberFormat="1" applyFont="1" applyFill="1" applyBorder="1" applyAlignment="1">
      <alignment horizontal="center" vertical="center" wrapText="1"/>
    </xf>
    <xf numFmtId="180" fontId="18" fillId="0" borderId="0" xfId="0" applyNumberFormat="1" applyFont="1" applyFill="1" applyBorder="1" applyAlignment="1">
      <alignment horizontal="right" vertical="center" wrapText="1"/>
    </xf>
    <xf numFmtId="0" fontId="22" fillId="0" borderId="0" xfId="0" applyFont="1" applyFill="1" applyBorder="1" applyAlignment="1">
      <alignment horizontal="left" vertical="center" wrapText="1"/>
    </xf>
    <xf numFmtId="180" fontId="21" fillId="0" borderId="0" xfId="0" applyNumberFormat="1"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18" fillId="0" borderId="0" xfId="0" applyFont="1" applyFill="1" applyBorder="1" applyAlignment="1">
      <alignment vertical="center" wrapText="1"/>
    </xf>
    <xf numFmtId="2" fontId="18" fillId="0" borderId="0" xfId="0" applyNumberFormat="1" applyFont="1" applyFill="1" applyAlignment="1">
      <alignment vertical="center"/>
    </xf>
    <xf numFmtId="2" fontId="12" fillId="0" borderId="0" xfId="49" applyNumberFormat="1">
      <alignment/>
      <protection/>
    </xf>
    <xf numFmtId="0" fontId="91" fillId="0" borderId="25" xfId="0" applyFont="1" applyBorder="1" applyAlignment="1">
      <alignment vertical="center" wrapText="1"/>
    </xf>
    <xf numFmtId="177" fontId="100" fillId="0" borderId="15" xfId="0" applyNumberFormat="1" applyFont="1" applyBorder="1" applyAlignment="1">
      <alignment horizontal="center"/>
    </xf>
    <xf numFmtId="0" fontId="91" fillId="0" borderId="0" xfId="0" applyFont="1" applyBorder="1" applyAlignment="1">
      <alignment horizontal="center"/>
    </xf>
    <xf numFmtId="2" fontId="91" fillId="0" borderId="0" xfId="0" applyNumberFormat="1" applyFont="1" applyBorder="1" applyAlignment="1">
      <alignment horizontal="center"/>
    </xf>
    <xf numFmtId="177" fontId="91" fillId="0" borderId="0" xfId="0" applyNumberFormat="1" applyFont="1" applyBorder="1" applyAlignment="1">
      <alignment horizontal="center"/>
    </xf>
    <xf numFmtId="0" fontId="100" fillId="0" borderId="15" xfId="0" applyFont="1" applyBorder="1" applyAlignment="1">
      <alignment horizontal="center"/>
    </xf>
    <xf numFmtId="177" fontId="0" fillId="0" borderId="0" xfId="0" applyNumberFormat="1" applyAlignment="1">
      <alignment horizontal="center"/>
    </xf>
    <xf numFmtId="2" fontId="98" fillId="0" borderId="15" xfId="0" applyNumberFormat="1" applyFont="1" applyBorder="1" applyAlignment="1">
      <alignment horizontal="center" vertical="center" wrapText="1"/>
    </xf>
    <xf numFmtId="1" fontId="100" fillId="0" borderId="15" xfId="0" applyNumberFormat="1" applyFont="1" applyBorder="1" applyAlignment="1">
      <alignment horizontal="center" vertical="center" wrapText="1"/>
    </xf>
    <xf numFmtId="1" fontId="5" fillId="0" borderId="15" xfId="0" applyNumberFormat="1" applyFont="1" applyFill="1" applyBorder="1" applyAlignment="1">
      <alignment horizontal="center" vertical="center"/>
    </xf>
    <xf numFmtId="0" fontId="0" fillId="38" borderId="0" xfId="0" applyFill="1" applyBorder="1" applyAlignment="1">
      <alignment/>
    </xf>
    <xf numFmtId="0" fontId="8" fillId="38" borderId="0" xfId="0" applyFont="1" applyFill="1" applyBorder="1" applyAlignment="1">
      <alignment/>
    </xf>
    <xf numFmtId="0" fontId="91" fillId="38" borderId="15" xfId="0" applyFont="1" applyFill="1" applyBorder="1" applyAlignment="1">
      <alignment horizontal="center" vertical="center" wrapText="1"/>
    </xf>
    <xf numFmtId="0" fontId="91" fillId="38" borderId="15" xfId="0" applyFont="1" applyFill="1" applyBorder="1" applyAlignment="1">
      <alignment horizontal="left" vertical="center" wrapText="1"/>
    </xf>
    <xf numFmtId="0" fontId="5" fillId="38" borderId="15" xfId="0" applyFont="1" applyFill="1" applyBorder="1" applyAlignment="1">
      <alignment horizontal="center" vertical="center"/>
    </xf>
    <xf numFmtId="0" fontId="100" fillId="0" borderId="0" xfId="0" applyFont="1" applyAlignment="1">
      <alignment/>
    </xf>
    <xf numFmtId="0" fontId="7" fillId="0" borderId="24" xfId="49" applyFont="1" applyBorder="1" applyAlignment="1">
      <alignment vertical="center" wrapText="1"/>
      <protection/>
    </xf>
    <xf numFmtId="0" fontId="7" fillId="0" borderId="26" xfId="49" applyFont="1" applyBorder="1" applyAlignment="1">
      <alignment vertical="center" wrapText="1"/>
      <protection/>
    </xf>
    <xf numFmtId="4" fontId="102" fillId="0" borderId="0" xfId="0" applyNumberFormat="1" applyFont="1" applyAlignment="1">
      <alignment horizontal="right" vertical="center"/>
    </xf>
    <xf numFmtId="4" fontId="95" fillId="0" borderId="0" xfId="0" applyNumberFormat="1" applyFont="1" applyAlignment="1">
      <alignment horizontal="center" vertical="center"/>
    </xf>
    <xf numFmtId="4" fontId="95" fillId="0" borderId="0" xfId="0" applyNumberFormat="1" applyFont="1" applyAlignment="1">
      <alignment horizontal="right" vertical="center"/>
    </xf>
    <xf numFmtId="0" fontId="26" fillId="0" borderId="15" xfId="0" applyFont="1" applyBorder="1" applyAlignment="1">
      <alignment vertical="top" wrapText="1"/>
    </xf>
    <xf numFmtId="0" fontId="8" fillId="0" borderId="0" xfId="0" applyFont="1" applyFill="1" applyBorder="1" applyAlignment="1">
      <alignment vertical="center"/>
    </xf>
    <xf numFmtId="4" fontId="100" fillId="0" borderId="0" xfId="0" applyNumberFormat="1" applyFont="1" applyAlignment="1">
      <alignment/>
    </xf>
    <xf numFmtId="0" fontId="5" fillId="0" borderId="15" xfId="0" applyFont="1" applyBorder="1" applyAlignment="1">
      <alignment horizontal="center" vertical="center" wrapText="1"/>
    </xf>
    <xf numFmtId="0" fontId="103" fillId="0" borderId="0" xfId="0" applyFont="1" applyAlignment="1">
      <alignment horizontal="left" vertical="center"/>
    </xf>
    <xf numFmtId="4" fontId="91" fillId="0" borderId="15" xfId="0" applyNumberFormat="1" applyFont="1" applyBorder="1" applyAlignment="1">
      <alignment horizontal="right" vertical="center"/>
    </xf>
    <xf numFmtId="0" fontId="91" fillId="0" borderId="0" xfId="0" applyFont="1" applyAlignment="1">
      <alignment horizontal="left" vertical="center" wrapText="1"/>
    </xf>
    <xf numFmtId="4" fontId="100" fillId="0" borderId="15" xfId="0" applyNumberFormat="1" applyFont="1" applyBorder="1" applyAlignment="1">
      <alignment/>
    </xf>
    <xf numFmtId="0" fontId="91" fillId="0" borderId="15" xfId="0" applyFont="1" applyBorder="1" applyAlignment="1">
      <alignment/>
    </xf>
    <xf numFmtId="0" fontId="100" fillId="0" borderId="15" xfId="0" applyFont="1" applyBorder="1" applyAlignment="1">
      <alignment/>
    </xf>
    <xf numFmtId="0" fontId="5" fillId="0" borderId="0" xfId="0" applyFont="1" applyBorder="1" applyAlignment="1">
      <alignment horizontal="left" vertical="top" wrapText="1"/>
    </xf>
    <xf numFmtId="0" fontId="91" fillId="0" borderId="0" xfId="0" applyFont="1" applyBorder="1" applyAlignment="1">
      <alignment horizontal="center" vertical="center" wrapText="1"/>
    </xf>
    <xf numFmtId="4" fontId="91" fillId="0" borderId="0" xfId="0" applyNumberFormat="1" applyFont="1" applyBorder="1" applyAlignment="1">
      <alignment horizontal="right" vertical="center"/>
    </xf>
    <xf numFmtId="4" fontId="8" fillId="0" borderId="15" xfId="0" applyNumberFormat="1" applyFont="1" applyFill="1" applyBorder="1" applyAlignment="1">
      <alignment horizontal="right" vertical="center"/>
    </xf>
    <xf numFmtId="0" fontId="100" fillId="0" borderId="0" xfId="0" applyFont="1" applyAlignment="1">
      <alignment horizontal="center" vertical="center"/>
    </xf>
    <xf numFmtId="0" fontId="91" fillId="0" borderId="0" xfId="0" applyFont="1" applyAlignment="1">
      <alignment/>
    </xf>
    <xf numFmtId="0" fontId="100" fillId="0" borderId="15" xfId="0" applyFont="1" applyBorder="1" applyAlignment="1">
      <alignment horizontal="center" vertical="center" wrapText="1"/>
    </xf>
    <xf numFmtId="0" fontId="91" fillId="0" borderId="15" xfId="0" applyFont="1" applyBorder="1" applyAlignment="1">
      <alignment horizontal="justify" vertical="center" wrapText="1"/>
    </xf>
    <xf numFmtId="4" fontId="91" fillId="0" borderId="15" xfId="0" applyNumberFormat="1" applyFont="1" applyBorder="1" applyAlignment="1">
      <alignment horizontal="center" vertical="center" wrapText="1"/>
    </xf>
    <xf numFmtId="0" fontId="91" fillId="37" borderId="0" xfId="0" applyFont="1" applyFill="1" applyAlignment="1">
      <alignment/>
    </xf>
    <xf numFmtId="0" fontId="91" fillId="44" borderId="0" xfId="0" applyFont="1" applyFill="1" applyAlignment="1">
      <alignment/>
    </xf>
    <xf numFmtId="0" fontId="91" fillId="39" borderId="0" xfId="0" applyFont="1" applyFill="1" applyAlignment="1">
      <alignment/>
    </xf>
    <xf numFmtId="4" fontId="91" fillId="0" borderId="0" xfId="0" applyNumberFormat="1" applyFont="1" applyAlignment="1">
      <alignment/>
    </xf>
    <xf numFmtId="0" fontId="91" fillId="0" borderId="15" xfId="0" applyFont="1" applyBorder="1" applyAlignment="1">
      <alignment horizontal="left" vertical="center" wrapText="1"/>
    </xf>
    <xf numFmtId="181" fontId="6" fillId="0" borderId="0" xfId="0" applyNumberFormat="1" applyFont="1" applyFill="1" applyBorder="1" applyAlignment="1">
      <alignment vertical="center"/>
    </xf>
    <xf numFmtId="181" fontId="27" fillId="0" borderId="0" xfId="0" applyNumberFormat="1"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37" borderId="0" xfId="0" applyFont="1" applyFill="1" applyBorder="1" applyAlignment="1">
      <alignment horizontal="center" vertical="center"/>
    </xf>
    <xf numFmtId="0" fontId="5" fillId="38"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6" fillId="45" borderId="0" xfId="0" applyFont="1" applyFill="1" applyBorder="1" applyAlignment="1">
      <alignment vertical="center"/>
    </xf>
    <xf numFmtId="0" fontId="104" fillId="0" borderId="27" xfId="0" applyFont="1" applyBorder="1" applyAlignment="1">
      <alignment horizontal="center" vertical="center" wrapText="1"/>
    </xf>
    <xf numFmtId="0" fontId="104" fillId="0" borderId="28" xfId="0" applyFont="1" applyBorder="1" applyAlignment="1">
      <alignment horizontal="center" vertical="center" wrapText="1"/>
    </xf>
    <xf numFmtId="0" fontId="91" fillId="0" borderId="0" xfId="0" applyFont="1" applyAlignment="1">
      <alignment horizontal="left" vertical="center" wrapText="1"/>
    </xf>
    <xf numFmtId="0" fontId="91" fillId="0" borderId="15" xfId="0" applyFont="1" applyBorder="1" applyAlignment="1">
      <alignment horizontal="left" vertical="center" wrapText="1"/>
    </xf>
    <xf numFmtId="0" fontId="91" fillId="0" borderId="0" xfId="0" applyFont="1" applyBorder="1" applyAlignment="1">
      <alignment horizontal="left" vertical="center" wrapText="1"/>
    </xf>
    <xf numFmtId="4" fontId="8" fillId="0" borderId="0" xfId="0" applyNumberFormat="1" applyFont="1" applyFill="1" applyBorder="1" applyAlignment="1">
      <alignment horizontal="right" vertical="center"/>
    </xf>
    <xf numFmtId="0" fontId="8" fillId="0" borderId="0" xfId="0" applyFont="1" applyBorder="1" applyAlignment="1">
      <alignment horizontal="center" vertical="top" wrapText="1"/>
    </xf>
    <xf numFmtId="0" fontId="5" fillId="0" borderId="0" xfId="0" applyFont="1" applyBorder="1" applyAlignment="1">
      <alignment/>
    </xf>
    <xf numFmtId="4" fontId="100" fillId="0" borderId="0" xfId="0" applyNumberFormat="1" applyFont="1" applyBorder="1" applyAlignment="1">
      <alignment/>
    </xf>
    <xf numFmtId="0" fontId="91" fillId="0" borderId="0" xfId="0" applyFont="1" applyBorder="1" applyAlignment="1">
      <alignment/>
    </xf>
    <xf numFmtId="0" fontId="5" fillId="37" borderId="0" xfId="0" applyFont="1" applyFill="1" applyBorder="1" applyAlignment="1">
      <alignment horizontal="center" vertical="center" wrapText="1"/>
    </xf>
    <xf numFmtId="2" fontId="8" fillId="0" borderId="0" xfId="0" applyNumberFormat="1" applyFont="1" applyBorder="1" applyAlignment="1">
      <alignment/>
    </xf>
    <xf numFmtId="183" fontId="5" fillId="0" borderId="15" xfId="0" applyNumberFormat="1" applyFont="1" applyFill="1" applyBorder="1" applyAlignment="1">
      <alignment horizontal="center" vertical="center"/>
    </xf>
    <xf numFmtId="182" fontId="5" fillId="0" borderId="15" xfId="0" applyNumberFormat="1" applyFont="1" applyFill="1" applyBorder="1" applyAlignment="1">
      <alignment horizontal="center" vertical="center"/>
    </xf>
    <xf numFmtId="0" fontId="8" fillId="0" borderId="21" xfId="0" applyFont="1" applyBorder="1" applyAlignment="1">
      <alignment horizontal="center" vertical="top" wrapText="1"/>
    </xf>
    <xf numFmtId="0" fontId="91" fillId="0" borderId="15" xfId="0" applyFont="1" applyBorder="1" applyAlignment="1">
      <alignment horizontal="left" vertical="center" wrapText="1"/>
    </xf>
    <xf numFmtId="0" fontId="5" fillId="44" borderId="15" xfId="0" applyFont="1" applyFill="1" applyBorder="1" applyAlignment="1">
      <alignment horizontal="center" vertical="center"/>
    </xf>
    <xf numFmtId="0" fontId="5" fillId="44" borderId="0" xfId="0" applyFont="1" applyFill="1" applyBorder="1" applyAlignment="1">
      <alignment horizontal="center" vertical="center"/>
    </xf>
    <xf numFmtId="17" fontId="5" fillId="44" borderId="0" xfId="0" applyNumberFormat="1" applyFont="1" applyFill="1" applyBorder="1" applyAlignment="1">
      <alignment horizontal="center" vertical="center"/>
    </xf>
    <xf numFmtId="0" fontId="91" fillId="44" borderId="21" xfId="0" applyFont="1" applyFill="1" applyBorder="1" applyAlignment="1">
      <alignment horizontal="center" vertical="center" wrapText="1"/>
    </xf>
    <xf numFmtId="0" fontId="91" fillId="44" borderId="22" xfId="0" applyFont="1" applyFill="1" applyBorder="1" applyAlignment="1">
      <alignment horizontal="left" vertical="center" wrapText="1"/>
    </xf>
    <xf numFmtId="0" fontId="5" fillId="44" borderId="0" xfId="0" applyFont="1" applyFill="1" applyBorder="1" applyAlignment="1">
      <alignment horizontal="center" vertical="center" wrapText="1"/>
    </xf>
    <xf numFmtId="0" fontId="91" fillId="0" borderId="0" xfId="0" applyFont="1" applyBorder="1" applyAlignment="1">
      <alignment vertical="center" wrapText="1"/>
    </xf>
    <xf numFmtId="2" fontId="5" fillId="44" borderId="0" xfId="0" applyNumberFormat="1" applyFont="1" applyFill="1" applyBorder="1" applyAlignment="1">
      <alignment horizontal="center" vertical="center"/>
    </xf>
    <xf numFmtId="0" fontId="91" fillId="0" borderId="15" xfId="0" applyFont="1" applyBorder="1" applyAlignment="1">
      <alignment vertical="center" wrapText="1"/>
    </xf>
    <xf numFmtId="0" fontId="105" fillId="0" borderId="0" xfId="0" applyFont="1" applyAlignment="1">
      <alignment/>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left" vertical="center" wrapText="1"/>
    </xf>
    <xf numFmtId="173" fontId="18" fillId="0" borderId="0" xfId="62" applyFont="1" applyFill="1" applyBorder="1" applyAlignment="1">
      <alignment horizontal="center" vertical="center" wrapText="1"/>
    </xf>
    <xf numFmtId="173" fontId="6" fillId="37" borderId="0" xfId="62" applyFont="1" applyFill="1" applyBorder="1" applyAlignment="1">
      <alignment horizontal="center" vertical="center" wrapText="1"/>
    </xf>
    <xf numFmtId="49" fontId="18" fillId="44" borderId="0" xfId="0" applyNumberFormat="1" applyFont="1" applyFill="1" applyBorder="1" applyAlignment="1">
      <alignment horizontal="left" vertical="center" wrapText="1"/>
    </xf>
    <xf numFmtId="175" fontId="98" fillId="37" borderId="15" xfId="0" applyNumberFormat="1" applyFont="1" applyFill="1" applyBorder="1" applyAlignment="1">
      <alignment/>
    </xf>
    <xf numFmtId="175" fontId="98" fillId="0" borderId="0" xfId="0" applyNumberFormat="1" applyFont="1" applyAlignment="1">
      <alignment/>
    </xf>
    <xf numFmtId="173" fontId="98" fillId="0" borderId="0" xfId="62" applyFont="1" applyAlignment="1">
      <alignment/>
    </xf>
    <xf numFmtId="173" fontId="30" fillId="0" borderId="0" xfId="62" applyFont="1" applyFill="1" applyBorder="1" applyAlignment="1">
      <alignment vertical="center"/>
    </xf>
    <xf numFmtId="173" fontId="18" fillId="0" borderId="0" xfId="0" applyNumberFormat="1" applyFont="1" applyFill="1" applyBorder="1" applyAlignment="1">
      <alignment vertical="center"/>
    </xf>
    <xf numFmtId="173" fontId="6" fillId="0" borderId="0" xfId="62" applyFont="1" applyFill="1" applyBorder="1" applyAlignment="1">
      <alignment horizontal="center" vertical="center" wrapText="1"/>
    </xf>
    <xf numFmtId="173" fontId="99" fillId="0" borderId="0" xfId="0" applyNumberFormat="1" applyFont="1" applyFill="1" applyAlignment="1">
      <alignment/>
    </xf>
    <xf numFmtId="0" fontId="98" fillId="0" borderId="0" xfId="0" applyFont="1" applyFill="1" applyAlignment="1">
      <alignment/>
    </xf>
    <xf numFmtId="173" fontId="99" fillId="39" borderId="0" xfId="0" applyNumberFormat="1" applyFont="1" applyFill="1" applyAlignment="1">
      <alignment horizontal="center" vertical="center"/>
    </xf>
    <xf numFmtId="173" fontId="99" fillId="0" borderId="0" xfId="0" applyNumberFormat="1" applyFont="1" applyFill="1" applyAlignment="1">
      <alignment horizontal="center" vertical="center"/>
    </xf>
    <xf numFmtId="173" fontId="99" fillId="45" borderId="0" xfId="0" applyNumberFormat="1" applyFont="1" applyFill="1" applyAlignment="1">
      <alignment horizontal="center" vertical="center"/>
    </xf>
    <xf numFmtId="173" fontId="99" fillId="44" borderId="0" xfId="0" applyNumberFormat="1" applyFont="1" applyFill="1" applyAlignment="1">
      <alignment horizontal="center" vertical="center"/>
    </xf>
    <xf numFmtId="173" fontId="18" fillId="38" borderId="0" xfId="62" applyFont="1" applyFill="1" applyBorder="1" applyAlignment="1">
      <alignment horizontal="center" vertical="center" wrapText="1"/>
    </xf>
    <xf numFmtId="0" fontId="106" fillId="0" borderId="0" xfId="0" applyFont="1" applyFill="1" applyBorder="1" applyAlignment="1">
      <alignment vertical="center"/>
    </xf>
    <xf numFmtId="0" fontId="106" fillId="0" borderId="15" xfId="0" applyFont="1" applyFill="1" applyBorder="1" applyAlignment="1">
      <alignment vertical="center"/>
    </xf>
    <xf numFmtId="0" fontId="106" fillId="0" borderId="22" xfId="0" applyFont="1" applyFill="1" applyBorder="1" applyAlignment="1">
      <alignment vertical="center" wrapText="1"/>
    </xf>
    <xf numFmtId="0" fontId="106" fillId="0" borderId="18" xfId="0" applyFont="1" applyFill="1" applyBorder="1" applyAlignment="1">
      <alignment vertical="center"/>
    </xf>
    <xf numFmtId="0" fontId="106" fillId="0" borderId="22" xfId="0" applyFont="1" applyFill="1" applyBorder="1" applyAlignment="1">
      <alignment vertical="center"/>
    </xf>
    <xf numFmtId="0" fontId="106" fillId="0" borderId="18" xfId="0" applyFont="1" applyFill="1" applyBorder="1" applyAlignment="1">
      <alignment vertical="center" wrapText="1"/>
    </xf>
    <xf numFmtId="0" fontId="106" fillId="0" borderId="23" xfId="0" applyFont="1" applyFill="1" applyBorder="1" applyAlignment="1">
      <alignment vertical="center" wrapText="1"/>
    </xf>
    <xf numFmtId="0" fontId="106" fillId="0" borderId="24" xfId="0" applyFont="1" applyFill="1" applyBorder="1" applyAlignment="1">
      <alignment vertical="center"/>
    </xf>
    <xf numFmtId="0" fontId="106" fillId="0" borderId="15" xfId="0" applyFont="1" applyFill="1" applyBorder="1" applyAlignment="1">
      <alignment vertical="center" wrapText="1"/>
    </xf>
    <xf numFmtId="0" fontId="99" fillId="0" borderId="0" xfId="0" applyFont="1" applyFill="1" applyBorder="1" applyAlignment="1">
      <alignment horizontal="center" vertical="center" wrapText="1"/>
    </xf>
    <xf numFmtId="0" fontId="106" fillId="0" borderId="15" xfId="0" applyFont="1" applyFill="1" applyBorder="1" applyAlignment="1">
      <alignment horizontal="center" vertical="center" wrapText="1" shrinkToFit="1"/>
    </xf>
    <xf numFmtId="179" fontId="106" fillId="41" borderId="15" xfId="0" applyNumberFormat="1" applyFont="1" applyFill="1" applyBorder="1" applyAlignment="1">
      <alignment horizontal="center" vertical="center" wrapText="1"/>
    </xf>
    <xf numFmtId="179" fontId="106" fillId="0" borderId="15" xfId="0" applyNumberFormat="1" applyFont="1" applyFill="1" applyBorder="1" applyAlignment="1">
      <alignment horizontal="center" vertical="center" wrapText="1"/>
    </xf>
    <xf numFmtId="179" fontId="99" fillId="41" borderId="15" xfId="0" applyNumberFormat="1" applyFont="1" applyFill="1" applyBorder="1" applyAlignment="1">
      <alignment horizontal="center" vertical="center" wrapText="1"/>
    </xf>
    <xf numFmtId="179" fontId="106" fillId="42" borderId="15" xfId="0" applyNumberFormat="1" applyFont="1" applyFill="1" applyBorder="1" applyAlignment="1">
      <alignment horizontal="center" vertical="center" wrapText="1"/>
    </xf>
    <xf numFmtId="179" fontId="99" fillId="42" borderId="15" xfId="0" applyNumberFormat="1" applyFont="1" applyFill="1" applyBorder="1" applyAlignment="1">
      <alignment horizontal="center" vertical="center" wrapText="1"/>
    </xf>
    <xf numFmtId="178" fontId="106" fillId="0" borderId="15" xfId="0" applyNumberFormat="1" applyFont="1" applyFill="1" applyBorder="1" applyAlignment="1">
      <alignment horizontal="center" vertical="center" wrapText="1"/>
    </xf>
    <xf numFmtId="0" fontId="99" fillId="0" borderId="18" xfId="0" applyFont="1" applyFill="1" applyBorder="1" applyAlignment="1">
      <alignment vertical="center" wrapText="1"/>
    </xf>
    <xf numFmtId="0" fontId="99" fillId="0" borderId="22" xfId="0" applyFont="1" applyFill="1" applyBorder="1" applyAlignment="1">
      <alignment vertical="center" wrapText="1"/>
    </xf>
    <xf numFmtId="179" fontId="99" fillId="43" borderId="15" xfId="0" applyNumberFormat="1" applyFont="1" applyFill="1" applyBorder="1" applyAlignment="1">
      <alignment horizontal="center" vertical="center" wrapText="1"/>
    </xf>
    <xf numFmtId="0" fontId="99" fillId="0" borderId="15" xfId="0" applyFont="1" applyFill="1" applyBorder="1" applyAlignment="1">
      <alignment horizontal="center" vertical="center" wrapText="1"/>
    </xf>
    <xf numFmtId="178" fontId="106" fillId="0" borderId="0" xfId="0" applyNumberFormat="1" applyFont="1" applyFill="1" applyBorder="1" applyAlignment="1">
      <alignment horizontal="center" vertical="center" wrapText="1"/>
    </xf>
    <xf numFmtId="180" fontId="106" fillId="0" borderId="0" xfId="0" applyNumberFormat="1" applyFont="1" applyFill="1" applyBorder="1" applyAlignment="1">
      <alignment horizontal="right" vertical="center" wrapText="1"/>
    </xf>
    <xf numFmtId="180" fontId="107" fillId="0" borderId="0" xfId="0" applyNumberFormat="1" applyFont="1" applyFill="1" applyBorder="1" applyAlignment="1">
      <alignment vertical="center"/>
    </xf>
    <xf numFmtId="0" fontId="97" fillId="0" borderId="0" xfId="0" applyFont="1" applyFill="1" applyAlignment="1">
      <alignment horizontal="left" vertical="center"/>
    </xf>
    <xf numFmtId="0" fontId="106" fillId="0" borderId="0" xfId="0" applyFont="1" applyFill="1" applyBorder="1" applyAlignment="1">
      <alignment horizontal="center" vertical="center"/>
    </xf>
    <xf numFmtId="173" fontId="108" fillId="0" borderId="0" xfId="0" applyNumberFormat="1" applyFont="1" applyFill="1" applyBorder="1" applyAlignment="1">
      <alignment horizontal="left" vertical="center" wrapText="1"/>
    </xf>
    <xf numFmtId="2" fontId="18" fillId="46" borderId="0" xfId="0" applyNumberFormat="1" applyFont="1" applyFill="1" applyBorder="1" applyAlignment="1">
      <alignment vertical="center"/>
    </xf>
    <xf numFmtId="2" fontId="18" fillId="46" borderId="0" xfId="0" applyNumberFormat="1" applyFont="1" applyFill="1" applyAlignment="1">
      <alignment vertical="center"/>
    </xf>
    <xf numFmtId="49" fontId="18" fillId="46" borderId="0" xfId="0" applyNumberFormat="1" applyFont="1" applyFill="1" applyBorder="1" applyAlignment="1">
      <alignment horizontal="left" vertical="center" wrapText="1"/>
    </xf>
    <xf numFmtId="2" fontId="18" fillId="46" borderId="0" xfId="0" applyNumberFormat="1" applyFont="1" applyFill="1" applyBorder="1" applyAlignment="1">
      <alignment horizontal="left" vertical="center" wrapText="1"/>
    </xf>
    <xf numFmtId="174" fontId="18" fillId="46" borderId="0" xfId="0" applyNumberFormat="1" applyFont="1" applyFill="1" applyAlignment="1">
      <alignment vertical="center"/>
    </xf>
    <xf numFmtId="0" fontId="18" fillId="46" borderId="0" xfId="0" applyFont="1" applyFill="1" applyAlignment="1">
      <alignment vertical="center"/>
    </xf>
    <xf numFmtId="174" fontId="18" fillId="46" borderId="0" xfId="0" applyNumberFormat="1" applyFont="1" applyFill="1" applyBorder="1" applyAlignment="1">
      <alignment vertical="center"/>
    </xf>
    <xf numFmtId="49" fontId="18" fillId="0" borderId="0" xfId="0" applyNumberFormat="1" applyFont="1" applyFill="1" applyAlignment="1">
      <alignment vertical="center"/>
    </xf>
    <xf numFmtId="185" fontId="18" fillId="0" borderId="0" xfId="0" applyNumberFormat="1" applyFont="1" applyFill="1" applyBorder="1" applyAlignment="1">
      <alignment vertical="center"/>
    </xf>
    <xf numFmtId="173" fontId="99" fillId="37" borderId="0" xfId="62" applyFont="1" applyFill="1" applyAlignment="1">
      <alignment horizontal="center" vertical="center" wrapText="1"/>
    </xf>
    <xf numFmtId="173" fontId="99" fillId="37" borderId="0" xfId="62" applyFont="1" applyFill="1" applyBorder="1" applyAlignment="1">
      <alignment horizontal="center" vertical="center"/>
    </xf>
    <xf numFmtId="173" fontId="91" fillId="37" borderId="0" xfId="62" applyFont="1" applyFill="1" applyBorder="1" applyAlignment="1">
      <alignment horizontal="center" vertical="center" wrapText="1"/>
    </xf>
    <xf numFmtId="173" fontId="100" fillId="37" borderId="0" xfId="62" applyFont="1" applyFill="1" applyBorder="1" applyAlignment="1">
      <alignment horizontal="center" vertical="center" wrapText="1"/>
    </xf>
    <xf numFmtId="173" fontId="91" fillId="37" borderId="0" xfId="62" applyFont="1" applyFill="1" applyBorder="1" applyAlignment="1">
      <alignment horizontal="center" vertical="center"/>
    </xf>
    <xf numFmtId="173" fontId="100" fillId="37" borderId="0" xfId="62" applyFont="1" applyFill="1" applyBorder="1" applyAlignment="1">
      <alignment horizontal="center" vertical="center"/>
    </xf>
    <xf numFmtId="173" fontId="109" fillId="37" borderId="0" xfId="62" applyFont="1" applyFill="1" applyAlignment="1">
      <alignment horizontal="center" vertical="center"/>
    </xf>
    <xf numFmtId="173" fontId="91" fillId="45" borderId="0" xfId="62" applyFont="1" applyFill="1" applyBorder="1" applyAlignment="1">
      <alignment horizontal="center" vertical="center"/>
    </xf>
    <xf numFmtId="173" fontId="99" fillId="0" borderId="0" xfId="62" applyFont="1" applyFill="1" applyAlignment="1">
      <alignment horizontal="center" vertical="center" wrapText="1"/>
    </xf>
    <xf numFmtId="173" fontId="99" fillId="0" borderId="0" xfId="62" applyFont="1" applyFill="1" applyBorder="1" applyAlignment="1">
      <alignment horizontal="center" vertical="center"/>
    </xf>
    <xf numFmtId="173" fontId="109" fillId="0" borderId="0" xfId="62" applyFont="1" applyFill="1" applyAlignment="1">
      <alignment horizontal="center" vertical="center"/>
    </xf>
    <xf numFmtId="173" fontId="99" fillId="0" borderId="0" xfId="62" applyFont="1" applyFill="1" applyBorder="1" applyAlignment="1">
      <alignment horizontal="center" vertical="center" wrapText="1"/>
    </xf>
    <xf numFmtId="173" fontId="91" fillId="45" borderId="0" xfId="62" applyFont="1" applyFill="1" applyBorder="1" applyAlignment="1">
      <alignment horizontal="center" vertical="center" wrapText="1"/>
    </xf>
    <xf numFmtId="173" fontId="91" fillId="37" borderId="15" xfId="62" applyFont="1" applyFill="1" applyBorder="1" applyAlignment="1">
      <alignment horizontal="center" vertical="center" wrapText="1"/>
    </xf>
    <xf numFmtId="173" fontId="91" fillId="0" borderId="15" xfId="62" applyFont="1" applyFill="1" applyBorder="1" applyAlignment="1">
      <alignment horizontal="center" vertical="center" wrapText="1"/>
    </xf>
    <xf numFmtId="173" fontId="91" fillId="0" borderId="15" xfId="62" applyFont="1" applyFill="1" applyBorder="1" applyAlignment="1">
      <alignment horizontal="center" vertical="center"/>
    </xf>
    <xf numFmtId="173" fontId="100" fillId="37" borderId="15" xfId="62" applyFont="1" applyFill="1" applyBorder="1" applyAlignment="1">
      <alignment horizontal="center" vertical="center" wrapText="1"/>
    </xf>
    <xf numFmtId="173" fontId="100" fillId="0" borderId="15" xfId="62" applyFont="1" applyFill="1" applyBorder="1" applyAlignment="1">
      <alignment horizontal="center" vertical="center" wrapText="1"/>
    </xf>
    <xf numFmtId="173" fontId="99" fillId="0" borderId="15" xfId="62" applyFont="1" applyFill="1" applyBorder="1" applyAlignment="1">
      <alignment horizontal="center" vertical="center" wrapText="1"/>
    </xf>
    <xf numFmtId="173" fontId="99" fillId="0" borderId="15" xfId="62" applyFont="1" applyFill="1" applyBorder="1" applyAlignment="1">
      <alignment horizontal="center" vertical="center"/>
    </xf>
    <xf numFmtId="173" fontId="91" fillId="37" borderId="15" xfId="62" applyFont="1" applyFill="1" applyBorder="1" applyAlignment="1">
      <alignment horizontal="center" vertical="center"/>
    </xf>
    <xf numFmtId="173" fontId="100" fillId="37" borderId="15" xfId="62" applyFont="1" applyFill="1" applyBorder="1" applyAlignment="1">
      <alignment horizontal="center" vertical="center"/>
    </xf>
    <xf numFmtId="173" fontId="109" fillId="0" borderId="15" xfId="62" applyFont="1" applyFill="1" applyBorder="1" applyAlignment="1">
      <alignment horizontal="center" vertical="center"/>
    </xf>
    <xf numFmtId="173" fontId="100" fillId="0" borderId="15" xfId="62" applyFont="1" applyFill="1" applyBorder="1" applyAlignment="1">
      <alignment horizontal="center" vertical="center"/>
    </xf>
    <xf numFmtId="173" fontId="91" fillId="45" borderId="15" xfId="62" applyFont="1" applyFill="1" applyBorder="1" applyAlignment="1">
      <alignment horizontal="center" vertical="center"/>
    </xf>
    <xf numFmtId="0" fontId="5" fillId="37" borderId="15" xfId="0" applyFont="1" applyFill="1" applyBorder="1" applyAlignment="1">
      <alignment vertical="center" wrapText="1"/>
    </xf>
    <xf numFmtId="173" fontId="18" fillId="0" borderId="0" xfId="0" applyNumberFormat="1" applyFont="1" applyFill="1" applyAlignment="1">
      <alignment vertical="center"/>
    </xf>
    <xf numFmtId="173" fontId="18" fillId="12" borderId="0" xfId="62"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6" fillId="0" borderId="15" xfId="0" applyFont="1" applyFill="1" applyBorder="1" applyAlignment="1">
      <alignment horizontal="center" vertical="center"/>
    </xf>
    <xf numFmtId="0" fontId="91" fillId="0" borderId="15" xfId="0" applyFont="1" applyBorder="1" applyAlignment="1">
      <alignment horizontal="left" vertical="center" wrapText="1"/>
    </xf>
    <xf numFmtId="173" fontId="18" fillId="5" borderId="0" xfId="62" applyFont="1" applyFill="1" applyBorder="1" applyAlignment="1">
      <alignment horizontal="center" vertical="center" wrapText="1"/>
    </xf>
    <xf numFmtId="173" fontId="18" fillId="13" borderId="0" xfId="62" applyFont="1" applyFill="1" applyBorder="1" applyAlignment="1">
      <alignment horizontal="center" vertical="center" wrapText="1"/>
    </xf>
    <xf numFmtId="173" fontId="18" fillId="47" borderId="0" xfId="62" applyFont="1" applyFill="1" applyBorder="1" applyAlignment="1">
      <alignment horizontal="center" vertical="center" wrapText="1"/>
    </xf>
    <xf numFmtId="0" fontId="6" fillId="0" borderId="0" xfId="0" applyFont="1" applyAlignment="1">
      <alignment horizontal="center" vertical="center" wrapText="1"/>
    </xf>
    <xf numFmtId="0" fontId="6" fillId="0" borderId="16" xfId="0" applyFont="1" applyBorder="1" applyAlignment="1">
      <alignment horizontal="center" vertical="center"/>
    </xf>
    <xf numFmtId="0" fontId="75" fillId="34" borderId="10" xfId="42" applyFill="1" applyBorder="1" applyAlignment="1" applyProtection="1">
      <alignment vertical="top" wrapText="1"/>
      <protection/>
    </xf>
    <xf numFmtId="0" fontId="75" fillId="34" borderId="11" xfId="42" applyFill="1" applyBorder="1" applyAlignment="1" applyProtection="1">
      <alignment vertical="top" wrapText="1"/>
      <protection/>
    </xf>
    <xf numFmtId="0" fontId="89" fillId="37" borderId="10" xfId="0" applyFont="1" applyFill="1" applyBorder="1" applyAlignment="1">
      <alignment vertical="top" wrapText="1"/>
    </xf>
    <xf numFmtId="0" fontId="89" fillId="37" borderId="11" xfId="0" applyFont="1" applyFill="1" applyBorder="1" applyAlignment="1">
      <alignment vertical="top" wrapText="1"/>
    </xf>
    <xf numFmtId="0" fontId="89" fillId="34" borderId="10" xfId="0" applyFont="1" applyFill="1" applyBorder="1" applyAlignment="1">
      <alignment vertical="top" wrapText="1"/>
    </xf>
    <xf numFmtId="0" fontId="89" fillId="34" borderId="11" xfId="0" applyFont="1" applyFill="1" applyBorder="1" applyAlignment="1">
      <alignment vertical="top" wrapText="1"/>
    </xf>
    <xf numFmtId="0" fontId="75" fillId="35" borderId="10" xfId="42" applyFill="1" applyBorder="1" applyAlignment="1" applyProtection="1">
      <alignment vertical="top" wrapText="1"/>
      <protection/>
    </xf>
    <xf numFmtId="0" fontId="75" fillId="35" borderId="11" xfId="42" applyFill="1" applyBorder="1" applyAlignment="1" applyProtection="1">
      <alignment vertical="top" wrapText="1"/>
      <protection/>
    </xf>
    <xf numFmtId="0" fontId="89" fillId="38" borderId="10" xfId="0" applyFont="1" applyFill="1" applyBorder="1" applyAlignment="1">
      <alignment vertical="top" wrapText="1"/>
    </xf>
    <xf numFmtId="0" fontId="89" fillId="38" borderId="11" xfId="0" applyFont="1" applyFill="1" applyBorder="1" applyAlignment="1">
      <alignment vertical="top" wrapText="1"/>
    </xf>
    <xf numFmtId="0" fontId="89" fillId="35" borderId="10" xfId="0" applyFont="1" applyFill="1" applyBorder="1" applyAlignment="1">
      <alignment vertical="top" wrapText="1"/>
    </xf>
    <xf numFmtId="0" fontId="89" fillId="35" borderId="11" xfId="0" applyFont="1" applyFill="1" applyBorder="1" applyAlignment="1">
      <alignment vertical="top" wrapText="1"/>
    </xf>
    <xf numFmtId="0" fontId="75" fillId="33" borderId="10" xfId="42" applyFill="1" applyBorder="1" applyAlignment="1" applyProtection="1">
      <alignment vertical="top" wrapText="1"/>
      <protection/>
    </xf>
    <xf numFmtId="0" fontId="75" fillId="33" borderId="11" xfId="42" applyFill="1" applyBorder="1" applyAlignment="1" applyProtection="1">
      <alignment vertical="top" wrapText="1"/>
      <protection/>
    </xf>
    <xf numFmtId="0" fontId="89" fillId="33" borderId="10" xfId="0" applyFont="1" applyFill="1" applyBorder="1" applyAlignment="1">
      <alignment vertical="top" wrapText="1"/>
    </xf>
    <xf numFmtId="0" fontId="89" fillId="33" borderId="11" xfId="0" applyFont="1" applyFill="1" applyBorder="1" applyAlignment="1">
      <alignment vertical="top" wrapText="1"/>
    </xf>
    <xf numFmtId="0" fontId="89" fillId="39" borderId="10" xfId="0" applyFont="1" applyFill="1" applyBorder="1" applyAlignment="1">
      <alignment vertical="top" wrapText="1"/>
    </xf>
    <xf numFmtId="0" fontId="89" fillId="39" borderId="11" xfId="0" applyFont="1" applyFill="1" applyBorder="1" applyAlignment="1">
      <alignment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0" fontId="89" fillId="45" borderId="10" xfId="0" applyFont="1" applyFill="1" applyBorder="1" applyAlignment="1">
      <alignment vertical="top" wrapText="1"/>
    </xf>
    <xf numFmtId="0" fontId="89" fillId="45" borderId="11" xfId="0" applyFont="1" applyFill="1" applyBorder="1" applyAlignment="1">
      <alignmen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110" fillId="45" borderId="0" xfId="0" applyFont="1" applyFill="1" applyBorder="1" applyAlignment="1">
      <alignment horizontal="center"/>
    </xf>
    <xf numFmtId="0" fontId="111" fillId="34" borderId="10" xfId="0" applyFont="1" applyFill="1" applyBorder="1" applyAlignment="1">
      <alignment horizontal="center" vertical="center" wrapText="1"/>
    </xf>
    <xf numFmtId="0" fontId="111" fillId="34" borderId="11" xfId="0" applyFont="1" applyFill="1" applyBorder="1" applyAlignment="1">
      <alignment horizontal="center" vertical="center" wrapText="1"/>
    </xf>
    <xf numFmtId="0" fontId="75" fillId="34" borderId="10" xfId="42" applyFill="1" applyBorder="1" applyAlignment="1">
      <alignment vertical="top" wrapText="1"/>
    </xf>
    <xf numFmtId="0" fontId="75" fillId="34" borderId="11" xfId="42" applyFill="1" applyBorder="1" applyAlignment="1">
      <alignment vertical="top" wrapText="1"/>
    </xf>
    <xf numFmtId="0" fontId="89" fillId="35" borderId="10" xfId="0" applyFont="1" applyFill="1" applyBorder="1" applyAlignment="1">
      <alignment horizontal="center" vertical="center" wrapText="1"/>
    </xf>
    <xf numFmtId="0" fontId="89" fillId="35" borderId="11" xfId="0" applyFont="1" applyFill="1" applyBorder="1" applyAlignment="1">
      <alignment horizontal="center" vertical="center" wrapText="1"/>
    </xf>
    <xf numFmtId="0" fontId="112" fillId="35" borderId="10" xfId="0" applyFont="1" applyFill="1" applyBorder="1" applyAlignment="1">
      <alignment horizontal="center" vertical="center" wrapText="1"/>
    </xf>
    <xf numFmtId="0" fontId="112" fillId="35" borderId="11" xfId="0" applyFont="1" applyFill="1" applyBorder="1" applyAlignment="1">
      <alignment horizontal="center" vertical="center" wrapText="1"/>
    </xf>
    <xf numFmtId="0" fontId="111" fillId="35" borderId="10" xfId="0" applyFont="1" applyFill="1" applyBorder="1" applyAlignment="1">
      <alignment horizontal="center" vertical="center" wrapText="1"/>
    </xf>
    <xf numFmtId="0" fontId="111" fillId="35" borderId="11" xfId="0" applyFont="1" applyFill="1" applyBorder="1" applyAlignment="1">
      <alignment horizontal="center" vertical="center" wrapText="1"/>
    </xf>
    <xf numFmtId="0" fontId="75" fillId="35" borderId="10" xfId="42" applyFill="1" applyBorder="1" applyAlignment="1">
      <alignment vertical="top" wrapText="1"/>
    </xf>
    <xf numFmtId="0" fontId="75" fillId="35" borderId="11" xfId="42" applyFill="1" applyBorder="1" applyAlignment="1">
      <alignment vertical="top" wrapText="1"/>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112" fillId="33" borderId="10" xfId="0" applyFont="1" applyFill="1" applyBorder="1" applyAlignment="1">
      <alignment horizontal="center" vertical="center" wrapText="1"/>
    </xf>
    <xf numFmtId="0" fontId="112" fillId="33" borderId="11"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11" xfId="0" applyFont="1" applyFill="1" applyBorder="1" applyAlignment="1">
      <alignment horizontal="center" vertical="center" wrapText="1"/>
    </xf>
    <xf numFmtId="0" fontId="75" fillId="33" borderId="10" xfId="42" applyFill="1" applyBorder="1" applyAlignment="1">
      <alignment vertical="top" wrapText="1"/>
    </xf>
    <xf numFmtId="0" fontId="75" fillId="33" borderId="11" xfId="42" applyFill="1" applyBorder="1" applyAlignment="1">
      <alignment vertical="top" wrapText="1"/>
    </xf>
    <xf numFmtId="49" fontId="18" fillId="0" borderId="18"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22" xfId="0" applyFill="1" applyBorder="1" applyAlignment="1">
      <alignment horizontal="left" vertical="center" wrapTex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0" xfId="0" applyFont="1" applyFill="1" applyBorder="1" applyAlignment="1">
      <alignment horizontal="left" vertical="center" wrapText="1"/>
    </xf>
    <xf numFmtId="0" fontId="18" fillId="0" borderId="15" xfId="0" applyFont="1" applyFill="1" applyBorder="1" applyAlignment="1">
      <alignment horizontal="center" vertical="center"/>
    </xf>
    <xf numFmtId="0" fontId="5" fillId="0" borderId="18" xfId="0" applyFont="1" applyFill="1" applyBorder="1" applyAlignment="1">
      <alignment horizontal="left" vertical="center" wrapText="1"/>
    </xf>
    <xf numFmtId="0" fontId="18" fillId="0" borderId="22" xfId="0" applyFont="1" applyFill="1" applyBorder="1" applyAlignment="1">
      <alignment horizontal="left" vertical="center" wrapText="1"/>
    </xf>
    <xf numFmtId="180" fontId="18" fillId="0" borderId="0" xfId="0" applyNumberFormat="1" applyFont="1" applyFill="1" applyBorder="1" applyAlignment="1">
      <alignment horizontal="left" vertical="center" wrapText="1"/>
    </xf>
    <xf numFmtId="0" fontId="18" fillId="0" borderId="16"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Alignment="1">
      <alignment horizontal="center" vertical="center"/>
    </xf>
    <xf numFmtId="0" fontId="5"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6" fillId="0" borderId="15"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22" xfId="0" applyFont="1" applyFill="1" applyBorder="1" applyAlignment="1">
      <alignment horizontal="center" vertical="center"/>
    </xf>
    <xf numFmtId="0" fontId="106" fillId="0" borderId="15" xfId="0" applyFont="1" applyFill="1" applyBorder="1" applyAlignment="1">
      <alignment horizontal="center" vertical="center"/>
    </xf>
    <xf numFmtId="0" fontId="106" fillId="0" borderId="1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91" fillId="0" borderId="15" xfId="0" applyFont="1" applyFill="1" applyBorder="1" applyAlignment="1">
      <alignment horizontal="center" vertical="center" wrapText="1"/>
    </xf>
    <xf numFmtId="0" fontId="106" fillId="0" borderId="15" xfId="0" applyFont="1" applyFill="1" applyBorder="1" applyAlignment="1">
      <alignment horizontal="center" vertical="center" wrapText="1"/>
    </xf>
    <xf numFmtId="173" fontId="30" fillId="0" borderId="0" xfId="62" applyFont="1" applyFill="1" applyBorder="1" applyAlignment="1">
      <alignment horizontal="center" vertical="center"/>
    </xf>
    <xf numFmtId="0" fontId="106" fillId="0" borderId="16" xfId="0" applyFont="1" applyFill="1" applyBorder="1" applyAlignment="1">
      <alignment horizontal="center" vertical="center"/>
    </xf>
    <xf numFmtId="0" fontId="97" fillId="0" borderId="0" xfId="0" applyFont="1" applyFill="1" applyAlignment="1">
      <alignment horizontal="center" vertical="center"/>
    </xf>
    <xf numFmtId="0" fontId="6" fillId="38" borderId="0" xfId="0" applyFont="1" applyFill="1" applyAlignment="1">
      <alignment horizontal="center" vertical="center" wrapText="1"/>
    </xf>
    <xf numFmtId="2" fontId="8" fillId="44" borderId="20" xfId="0" applyNumberFormat="1" applyFont="1" applyFill="1" applyBorder="1" applyAlignment="1">
      <alignment horizontal="center" vertical="center"/>
    </xf>
    <xf numFmtId="0" fontId="7" fillId="0" borderId="24" xfId="49" applyFont="1" applyBorder="1" applyAlignment="1">
      <alignment horizontal="left" vertical="center" wrapText="1"/>
      <protection/>
    </xf>
    <xf numFmtId="0" fontId="7" fillId="0" borderId="26" xfId="49" applyFont="1" applyBorder="1" applyAlignment="1">
      <alignment horizontal="left" vertical="center" wrapText="1"/>
      <protection/>
    </xf>
    <xf numFmtId="0" fontId="7" fillId="0" borderId="24" xfId="49" applyFont="1" applyBorder="1" applyAlignment="1">
      <alignment horizontal="center" vertical="center" wrapText="1"/>
      <protection/>
    </xf>
    <xf numFmtId="0" fontId="7" fillId="0" borderId="26" xfId="49" applyFont="1" applyBorder="1" applyAlignment="1">
      <alignment horizontal="center" vertical="center" wrapText="1"/>
      <protection/>
    </xf>
    <xf numFmtId="0" fontId="4" fillId="0" borderId="24" xfId="49" applyFont="1" applyBorder="1" applyAlignment="1">
      <alignment horizontal="center" vertical="center" wrapText="1"/>
      <protection/>
    </xf>
    <xf numFmtId="0" fontId="4" fillId="0" borderId="26" xfId="49" applyFont="1" applyBorder="1" applyAlignment="1">
      <alignment horizontal="center" vertical="center" wrapText="1"/>
      <protection/>
    </xf>
    <xf numFmtId="0" fontId="7" fillId="0" borderId="21" xfId="49" applyFont="1" applyBorder="1" applyAlignment="1">
      <alignment horizontal="right" vertical="center" wrapText="1"/>
      <protection/>
    </xf>
    <xf numFmtId="0" fontId="7" fillId="0" borderId="18" xfId="49" applyFont="1" applyBorder="1" applyAlignment="1">
      <alignment horizontal="right" vertical="center" wrapText="1"/>
      <protection/>
    </xf>
    <xf numFmtId="0" fontId="7" fillId="0" borderId="22" xfId="49" applyFont="1" applyBorder="1" applyAlignment="1">
      <alignment horizontal="right" vertical="center" wrapText="1"/>
      <protection/>
    </xf>
    <xf numFmtId="0" fontId="8" fillId="0" borderId="21" xfId="49" applyFont="1" applyBorder="1" applyAlignment="1">
      <alignment horizontal="center" vertical="center"/>
      <protection/>
    </xf>
    <xf numFmtId="0" fontId="5" fillId="0" borderId="18" xfId="49" applyFont="1" applyBorder="1" applyAlignment="1">
      <alignment horizontal="center" vertical="center"/>
      <protection/>
    </xf>
    <xf numFmtId="0" fontId="5" fillId="0" borderId="22" xfId="49" applyFont="1" applyBorder="1" applyAlignment="1">
      <alignment horizontal="center" vertical="center"/>
      <protection/>
    </xf>
    <xf numFmtId="0" fontId="7" fillId="0" borderId="21" xfId="49" applyFont="1" applyBorder="1" applyAlignment="1">
      <alignment horizontal="center"/>
      <protection/>
    </xf>
    <xf numFmtId="0" fontId="7" fillId="0" borderId="22" xfId="49" applyFont="1" applyBorder="1" applyAlignment="1">
      <alignment horizontal="center"/>
      <protection/>
    </xf>
    <xf numFmtId="0" fontId="100" fillId="0" borderId="15" xfId="0" applyFont="1" applyBorder="1" applyAlignment="1">
      <alignment horizontal="center" vertical="center" wrapText="1"/>
    </xf>
    <xf numFmtId="0" fontId="98" fillId="0" borderId="15" xfId="0" applyFont="1" applyBorder="1" applyAlignment="1">
      <alignment horizontal="center" vertical="center" wrapText="1"/>
    </xf>
    <xf numFmtId="0" fontId="113" fillId="0" borderId="29" xfId="0" applyFont="1" applyBorder="1" applyAlignment="1">
      <alignment horizontal="center" vertical="center" wrapText="1"/>
    </xf>
    <xf numFmtId="0" fontId="93" fillId="0" borderId="27" xfId="0" applyFont="1" applyBorder="1" applyAlignment="1">
      <alignment horizontal="center" vertical="center" wrapText="1"/>
    </xf>
    <xf numFmtId="0" fontId="93" fillId="0" borderId="28" xfId="0" applyFont="1" applyBorder="1" applyAlignment="1">
      <alignment horizontal="center" vertical="center" wrapText="1"/>
    </xf>
    <xf numFmtId="0" fontId="93" fillId="0" borderId="30" xfId="0" applyFont="1" applyBorder="1" applyAlignment="1">
      <alignment horizontal="center" vertical="center" wrapText="1"/>
    </xf>
    <xf numFmtId="0" fontId="93" fillId="0" borderId="31" xfId="0" applyFont="1" applyBorder="1" applyAlignment="1">
      <alignment horizontal="center" vertical="center" wrapText="1"/>
    </xf>
    <xf numFmtId="0" fontId="104" fillId="0" borderId="27" xfId="0" applyFont="1" applyBorder="1" applyAlignment="1">
      <alignment horizontal="center" vertical="center" wrapText="1"/>
    </xf>
    <xf numFmtId="0" fontId="104" fillId="0" borderId="28" xfId="0" applyFont="1" applyBorder="1" applyAlignment="1">
      <alignment horizontal="center" vertical="center" wrapText="1"/>
    </xf>
    <xf numFmtId="0" fontId="91" fillId="0" borderId="0" xfId="0" applyFont="1" applyAlignment="1">
      <alignment horizontal="left" vertical="center"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99" fillId="0" borderId="0" xfId="0" applyFont="1" applyAlignment="1">
      <alignment horizontal="center"/>
    </xf>
    <xf numFmtId="0" fontId="106" fillId="0" borderId="0" xfId="0" applyFont="1" applyAlignment="1">
      <alignment horizontal="center"/>
    </xf>
    <xf numFmtId="0" fontId="91" fillId="0" borderId="21" xfId="0" applyFont="1" applyBorder="1" applyAlignment="1">
      <alignment horizontal="left"/>
    </xf>
    <xf numFmtId="0" fontId="91" fillId="0" borderId="22" xfId="0" applyFont="1" applyBorder="1" applyAlignment="1">
      <alignment horizontal="left"/>
    </xf>
    <xf numFmtId="0" fontId="91" fillId="0" borderId="15" xfId="0" applyFont="1" applyBorder="1" applyAlignment="1">
      <alignment horizontal="left" vertical="center" wrapText="1"/>
    </xf>
    <xf numFmtId="0" fontId="100" fillId="0" borderId="21" xfId="0" applyFont="1" applyBorder="1" applyAlignment="1">
      <alignment horizontal="center"/>
    </xf>
    <xf numFmtId="0" fontId="100" fillId="0" borderId="22"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257175</xdr:colOff>
      <xdr:row>7</xdr:row>
      <xdr:rowOff>47625</xdr:rowOff>
    </xdr:to>
    <xdr:pic>
      <xdr:nvPicPr>
        <xdr:cNvPr id="1" name="Picture 1"/>
        <xdr:cNvPicPr preferRelativeResize="1">
          <a:picLocks noChangeAspect="1"/>
        </xdr:cNvPicPr>
      </xdr:nvPicPr>
      <xdr:blipFill>
        <a:blip r:embed="rId1"/>
        <a:stretch>
          <a:fillRect/>
        </a:stretch>
      </xdr:blipFill>
      <xdr:spPr>
        <a:xfrm>
          <a:off x="609600" y="1162050"/>
          <a:ext cx="257175" cy="238125"/>
        </a:xfrm>
        <a:prstGeom prst="rect">
          <a:avLst/>
        </a:prstGeom>
        <a:noFill/>
        <a:ln w="9525" cmpd="sng">
          <a:noFill/>
        </a:ln>
      </xdr:spPr>
    </xdr:pic>
    <xdr:clientData/>
  </xdr:twoCellAnchor>
  <xdr:twoCellAnchor editAs="oneCell">
    <xdr:from>
      <xdr:col>1</xdr:col>
      <xdr:colOff>0</xdr:colOff>
      <xdr:row>8</xdr:row>
      <xdr:rowOff>0</xdr:rowOff>
    </xdr:from>
    <xdr:to>
      <xdr:col>1</xdr:col>
      <xdr:colOff>257175</xdr:colOff>
      <xdr:row>9</xdr:row>
      <xdr:rowOff>47625</xdr:rowOff>
    </xdr:to>
    <xdr:pic>
      <xdr:nvPicPr>
        <xdr:cNvPr id="2" name="Picture 2"/>
        <xdr:cNvPicPr preferRelativeResize="1">
          <a:picLocks noChangeAspect="1"/>
        </xdr:cNvPicPr>
      </xdr:nvPicPr>
      <xdr:blipFill>
        <a:blip r:embed="rId1"/>
        <a:stretch>
          <a:fillRect/>
        </a:stretch>
      </xdr:blipFill>
      <xdr:spPr>
        <a:xfrm>
          <a:off x="609600" y="1552575"/>
          <a:ext cx="257175" cy="238125"/>
        </a:xfrm>
        <a:prstGeom prst="rect">
          <a:avLst/>
        </a:prstGeom>
        <a:noFill/>
        <a:ln w="9525" cmpd="sng">
          <a:noFill/>
        </a:ln>
      </xdr:spPr>
    </xdr:pic>
    <xdr:clientData/>
  </xdr:twoCellAnchor>
  <xdr:twoCellAnchor editAs="oneCell">
    <xdr:from>
      <xdr:col>1</xdr:col>
      <xdr:colOff>0</xdr:colOff>
      <xdr:row>10</xdr:row>
      <xdr:rowOff>0</xdr:rowOff>
    </xdr:from>
    <xdr:to>
      <xdr:col>1</xdr:col>
      <xdr:colOff>257175</xdr:colOff>
      <xdr:row>11</xdr:row>
      <xdr:rowOff>47625</xdr:rowOff>
    </xdr:to>
    <xdr:pic>
      <xdr:nvPicPr>
        <xdr:cNvPr id="3" name="Picture 3"/>
        <xdr:cNvPicPr preferRelativeResize="1">
          <a:picLocks noChangeAspect="1"/>
        </xdr:cNvPicPr>
      </xdr:nvPicPr>
      <xdr:blipFill>
        <a:blip r:embed="rId1"/>
        <a:stretch>
          <a:fillRect/>
        </a:stretch>
      </xdr:blipFill>
      <xdr:spPr>
        <a:xfrm>
          <a:off x="609600" y="1943100"/>
          <a:ext cx="257175" cy="238125"/>
        </a:xfrm>
        <a:prstGeom prst="rect">
          <a:avLst/>
        </a:prstGeom>
        <a:noFill/>
        <a:ln w="9525" cmpd="sng">
          <a:noFill/>
        </a:ln>
      </xdr:spPr>
    </xdr:pic>
    <xdr:clientData/>
  </xdr:twoCellAnchor>
  <xdr:twoCellAnchor editAs="oneCell">
    <xdr:from>
      <xdr:col>1</xdr:col>
      <xdr:colOff>0</xdr:colOff>
      <xdr:row>12</xdr:row>
      <xdr:rowOff>0</xdr:rowOff>
    </xdr:from>
    <xdr:to>
      <xdr:col>1</xdr:col>
      <xdr:colOff>257175</xdr:colOff>
      <xdr:row>13</xdr:row>
      <xdr:rowOff>47625</xdr:rowOff>
    </xdr:to>
    <xdr:pic>
      <xdr:nvPicPr>
        <xdr:cNvPr id="4" name="Picture 4"/>
        <xdr:cNvPicPr preferRelativeResize="1">
          <a:picLocks noChangeAspect="1"/>
        </xdr:cNvPicPr>
      </xdr:nvPicPr>
      <xdr:blipFill>
        <a:blip r:embed="rId1"/>
        <a:stretch>
          <a:fillRect/>
        </a:stretch>
      </xdr:blipFill>
      <xdr:spPr>
        <a:xfrm>
          <a:off x="609600" y="2333625"/>
          <a:ext cx="257175" cy="238125"/>
        </a:xfrm>
        <a:prstGeom prst="rect">
          <a:avLst/>
        </a:prstGeom>
        <a:noFill/>
        <a:ln w="9525" cmpd="sng">
          <a:noFill/>
        </a:ln>
      </xdr:spPr>
    </xdr:pic>
    <xdr:clientData/>
  </xdr:twoCellAnchor>
  <xdr:twoCellAnchor editAs="oneCell">
    <xdr:from>
      <xdr:col>1</xdr:col>
      <xdr:colOff>0</xdr:colOff>
      <xdr:row>14</xdr:row>
      <xdr:rowOff>0</xdr:rowOff>
    </xdr:from>
    <xdr:to>
      <xdr:col>1</xdr:col>
      <xdr:colOff>257175</xdr:colOff>
      <xdr:row>15</xdr:row>
      <xdr:rowOff>47625</xdr:rowOff>
    </xdr:to>
    <xdr:pic>
      <xdr:nvPicPr>
        <xdr:cNvPr id="5" name="Picture 5"/>
        <xdr:cNvPicPr preferRelativeResize="1">
          <a:picLocks noChangeAspect="1"/>
        </xdr:cNvPicPr>
      </xdr:nvPicPr>
      <xdr:blipFill>
        <a:blip r:embed="rId1"/>
        <a:stretch>
          <a:fillRect/>
        </a:stretch>
      </xdr:blipFill>
      <xdr:spPr>
        <a:xfrm>
          <a:off x="609600" y="2724150"/>
          <a:ext cx="257175" cy="238125"/>
        </a:xfrm>
        <a:prstGeom prst="rect">
          <a:avLst/>
        </a:prstGeom>
        <a:noFill/>
        <a:ln w="9525" cmpd="sng">
          <a:noFill/>
        </a:ln>
      </xdr:spPr>
    </xdr:pic>
    <xdr:clientData/>
  </xdr:twoCellAnchor>
  <xdr:twoCellAnchor editAs="oneCell">
    <xdr:from>
      <xdr:col>1</xdr:col>
      <xdr:colOff>0</xdr:colOff>
      <xdr:row>16</xdr:row>
      <xdr:rowOff>0</xdr:rowOff>
    </xdr:from>
    <xdr:to>
      <xdr:col>1</xdr:col>
      <xdr:colOff>257175</xdr:colOff>
      <xdr:row>17</xdr:row>
      <xdr:rowOff>47625</xdr:rowOff>
    </xdr:to>
    <xdr:pic>
      <xdr:nvPicPr>
        <xdr:cNvPr id="6" name="Picture 6"/>
        <xdr:cNvPicPr preferRelativeResize="1">
          <a:picLocks noChangeAspect="1"/>
        </xdr:cNvPicPr>
      </xdr:nvPicPr>
      <xdr:blipFill>
        <a:blip r:embed="rId1"/>
        <a:stretch>
          <a:fillRect/>
        </a:stretch>
      </xdr:blipFill>
      <xdr:spPr>
        <a:xfrm>
          <a:off x="609600" y="3114675"/>
          <a:ext cx="257175" cy="238125"/>
        </a:xfrm>
        <a:prstGeom prst="rect">
          <a:avLst/>
        </a:prstGeom>
        <a:noFill/>
        <a:ln w="9525" cmpd="sng">
          <a:noFill/>
        </a:ln>
      </xdr:spPr>
    </xdr:pic>
    <xdr:clientData/>
  </xdr:twoCellAnchor>
  <xdr:twoCellAnchor editAs="oneCell">
    <xdr:from>
      <xdr:col>1</xdr:col>
      <xdr:colOff>0</xdr:colOff>
      <xdr:row>18</xdr:row>
      <xdr:rowOff>0</xdr:rowOff>
    </xdr:from>
    <xdr:to>
      <xdr:col>1</xdr:col>
      <xdr:colOff>257175</xdr:colOff>
      <xdr:row>19</xdr:row>
      <xdr:rowOff>47625</xdr:rowOff>
    </xdr:to>
    <xdr:pic>
      <xdr:nvPicPr>
        <xdr:cNvPr id="7" name="Picture 7"/>
        <xdr:cNvPicPr preferRelativeResize="1">
          <a:picLocks noChangeAspect="1"/>
        </xdr:cNvPicPr>
      </xdr:nvPicPr>
      <xdr:blipFill>
        <a:blip r:embed="rId1"/>
        <a:stretch>
          <a:fillRect/>
        </a:stretch>
      </xdr:blipFill>
      <xdr:spPr>
        <a:xfrm>
          <a:off x="609600" y="3505200"/>
          <a:ext cx="257175" cy="238125"/>
        </a:xfrm>
        <a:prstGeom prst="rect">
          <a:avLst/>
        </a:prstGeom>
        <a:noFill/>
        <a:ln w="9525" cmpd="sng">
          <a:noFill/>
        </a:ln>
      </xdr:spPr>
    </xdr:pic>
    <xdr:clientData/>
  </xdr:twoCellAnchor>
  <xdr:twoCellAnchor editAs="oneCell">
    <xdr:from>
      <xdr:col>1</xdr:col>
      <xdr:colOff>0</xdr:colOff>
      <xdr:row>20</xdr:row>
      <xdr:rowOff>0</xdr:rowOff>
    </xdr:from>
    <xdr:to>
      <xdr:col>1</xdr:col>
      <xdr:colOff>257175</xdr:colOff>
      <xdr:row>21</xdr:row>
      <xdr:rowOff>47625</xdr:rowOff>
    </xdr:to>
    <xdr:pic>
      <xdr:nvPicPr>
        <xdr:cNvPr id="8" name="Picture 8"/>
        <xdr:cNvPicPr preferRelativeResize="1">
          <a:picLocks noChangeAspect="1"/>
        </xdr:cNvPicPr>
      </xdr:nvPicPr>
      <xdr:blipFill>
        <a:blip r:embed="rId1"/>
        <a:stretch>
          <a:fillRect/>
        </a:stretch>
      </xdr:blipFill>
      <xdr:spPr>
        <a:xfrm>
          <a:off x="609600" y="3895725"/>
          <a:ext cx="257175" cy="238125"/>
        </a:xfrm>
        <a:prstGeom prst="rect">
          <a:avLst/>
        </a:prstGeom>
        <a:noFill/>
        <a:ln w="9525" cmpd="sng">
          <a:noFill/>
        </a:ln>
      </xdr:spPr>
    </xdr:pic>
    <xdr:clientData/>
  </xdr:twoCellAnchor>
  <xdr:twoCellAnchor editAs="oneCell">
    <xdr:from>
      <xdr:col>1</xdr:col>
      <xdr:colOff>0</xdr:colOff>
      <xdr:row>22</xdr:row>
      <xdr:rowOff>0</xdr:rowOff>
    </xdr:from>
    <xdr:to>
      <xdr:col>1</xdr:col>
      <xdr:colOff>257175</xdr:colOff>
      <xdr:row>23</xdr:row>
      <xdr:rowOff>47625</xdr:rowOff>
    </xdr:to>
    <xdr:pic>
      <xdr:nvPicPr>
        <xdr:cNvPr id="9" name="Picture 9"/>
        <xdr:cNvPicPr preferRelativeResize="1">
          <a:picLocks noChangeAspect="1"/>
        </xdr:cNvPicPr>
      </xdr:nvPicPr>
      <xdr:blipFill>
        <a:blip r:embed="rId1"/>
        <a:stretch>
          <a:fillRect/>
        </a:stretch>
      </xdr:blipFill>
      <xdr:spPr>
        <a:xfrm>
          <a:off x="609600" y="4286250"/>
          <a:ext cx="257175" cy="238125"/>
        </a:xfrm>
        <a:prstGeom prst="rect">
          <a:avLst/>
        </a:prstGeom>
        <a:noFill/>
        <a:ln w="9525" cmpd="sng">
          <a:noFill/>
        </a:ln>
      </xdr:spPr>
    </xdr:pic>
    <xdr:clientData/>
  </xdr:twoCellAnchor>
  <xdr:twoCellAnchor editAs="oneCell">
    <xdr:from>
      <xdr:col>1</xdr:col>
      <xdr:colOff>0</xdr:colOff>
      <xdr:row>24</xdr:row>
      <xdr:rowOff>0</xdr:rowOff>
    </xdr:from>
    <xdr:to>
      <xdr:col>1</xdr:col>
      <xdr:colOff>257175</xdr:colOff>
      <xdr:row>25</xdr:row>
      <xdr:rowOff>47625</xdr:rowOff>
    </xdr:to>
    <xdr:pic>
      <xdr:nvPicPr>
        <xdr:cNvPr id="10" name="Picture 10"/>
        <xdr:cNvPicPr preferRelativeResize="1">
          <a:picLocks noChangeAspect="1"/>
        </xdr:cNvPicPr>
      </xdr:nvPicPr>
      <xdr:blipFill>
        <a:blip r:embed="rId1"/>
        <a:stretch>
          <a:fillRect/>
        </a:stretch>
      </xdr:blipFill>
      <xdr:spPr>
        <a:xfrm>
          <a:off x="609600" y="4676775"/>
          <a:ext cx="257175" cy="238125"/>
        </a:xfrm>
        <a:prstGeom prst="rect">
          <a:avLst/>
        </a:prstGeom>
        <a:noFill/>
        <a:ln w="9525" cmpd="sng">
          <a:noFill/>
        </a:ln>
      </xdr:spPr>
    </xdr:pic>
    <xdr:clientData/>
  </xdr:twoCellAnchor>
  <xdr:twoCellAnchor editAs="oneCell">
    <xdr:from>
      <xdr:col>1</xdr:col>
      <xdr:colOff>0</xdr:colOff>
      <xdr:row>26</xdr:row>
      <xdr:rowOff>0</xdr:rowOff>
    </xdr:from>
    <xdr:to>
      <xdr:col>1</xdr:col>
      <xdr:colOff>257175</xdr:colOff>
      <xdr:row>27</xdr:row>
      <xdr:rowOff>47625</xdr:rowOff>
    </xdr:to>
    <xdr:pic>
      <xdr:nvPicPr>
        <xdr:cNvPr id="11" name="Picture 11"/>
        <xdr:cNvPicPr preferRelativeResize="1">
          <a:picLocks noChangeAspect="1"/>
        </xdr:cNvPicPr>
      </xdr:nvPicPr>
      <xdr:blipFill>
        <a:blip r:embed="rId1"/>
        <a:stretch>
          <a:fillRect/>
        </a:stretch>
      </xdr:blipFill>
      <xdr:spPr>
        <a:xfrm>
          <a:off x="609600" y="5067300"/>
          <a:ext cx="257175" cy="238125"/>
        </a:xfrm>
        <a:prstGeom prst="rect">
          <a:avLst/>
        </a:prstGeom>
        <a:noFill/>
        <a:ln w="9525" cmpd="sng">
          <a:noFill/>
        </a:ln>
      </xdr:spPr>
    </xdr:pic>
    <xdr:clientData/>
  </xdr:twoCellAnchor>
  <xdr:twoCellAnchor editAs="oneCell">
    <xdr:from>
      <xdr:col>1</xdr:col>
      <xdr:colOff>0</xdr:colOff>
      <xdr:row>28</xdr:row>
      <xdr:rowOff>0</xdr:rowOff>
    </xdr:from>
    <xdr:to>
      <xdr:col>1</xdr:col>
      <xdr:colOff>257175</xdr:colOff>
      <xdr:row>29</xdr:row>
      <xdr:rowOff>47625</xdr:rowOff>
    </xdr:to>
    <xdr:pic>
      <xdr:nvPicPr>
        <xdr:cNvPr id="12" name="Picture 12"/>
        <xdr:cNvPicPr preferRelativeResize="1">
          <a:picLocks noChangeAspect="1"/>
        </xdr:cNvPicPr>
      </xdr:nvPicPr>
      <xdr:blipFill>
        <a:blip r:embed="rId1"/>
        <a:stretch>
          <a:fillRect/>
        </a:stretch>
      </xdr:blipFill>
      <xdr:spPr>
        <a:xfrm>
          <a:off x="609600" y="5457825"/>
          <a:ext cx="257175" cy="238125"/>
        </a:xfrm>
        <a:prstGeom prst="rect">
          <a:avLst/>
        </a:prstGeom>
        <a:noFill/>
        <a:ln w="9525" cmpd="sng">
          <a:noFill/>
        </a:ln>
      </xdr:spPr>
    </xdr:pic>
    <xdr:clientData/>
  </xdr:twoCellAnchor>
  <xdr:twoCellAnchor editAs="oneCell">
    <xdr:from>
      <xdr:col>1</xdr:col>
      <xdr:colOff>0</xdr:colOff>
      <xdr:row>30</xdr:row>
      <xdr:rowOff>0</xdr:rowOff>
    </xdr:from>
    <xdr:to>
      <xdr:col>1</xdr:col>
      <xdr:colOff>257175</xdr:colOff>
      <xdr:row>31</xdr:row>
      <xdr:rowOff>47625</xdr:rowOff>
    </xdr:to>
    <xdr:pic>
      <xdr:nvPicPr>
        <xdr:cNvPr id="13" name="Picture 13"/>
        <xdr:cNvPicPr preferRelativeResize="1">
          <a:picLocks noChangeAspect="1"/>
        </xdr:cNvPicPr>
      </xdr:nvPicPr>
      <xdr:blipFill>
        <a:blip r:embed="rId1"/>
        <a:stretch>
          <a:fillRect/>
        </a:stretch>
      </xdr:blipFill>
      <xdr:spPr>
        <a:xfrm>
          <a:off x="609600" y="5848350"/>
          <a:ext cx="257175" cy="238125"/>
        </a:xfrm>
        <a:prstGeom prst="rect">
          <a:avLst/>
        </a:prstGeom>
        <a:noFill/>
        <a:ln w="9525" cmpd="sng">
          <a:noFill/>
        </a:ln>
      </xdr:spPr>
    </xdr:pic>
    <xdr:clientData/>
  </xdr:twoCellAnchor>
  <xdr:twoCellAnchor editAs="oneCell">
    <xdr:from>
      <xdr:col>1</xdr:col>
      <xdr:colOff>0</xdr:colOff>
      <xdr:row>32</xdr:row>
      <xdr:rowOff>0</xdr:rowOff>
    </xdr:from>
    <xdr:to>
      <xdr:col>1</xdr:col>
      <xdr:colOff>257175</xdr:colOff>
      <xdr:row>33</xdr:row>
      <xdr:rowOff>47625</xdr:rowOff>
    </xdr:to>
    <xdr:pic>
      <xdr:nvPicPr>
        <xdr:cNvPr id="14" name="Picture 14"/>
        <xdr:cNvPicPr preferRelativeResize="1">
          <a:picLocks noChangeAspect="1"/>
        </xdr:cNvPicPr>
      </xdr:nvPicPr>
      <xdr:blipFill>
        <a:blip r:embed="rId1"/>
        <a:stretch>
          <a:fillRect/>
        </a:stretch>
      </xdr:blipFill>
      <xdr:spPr>
        <a:xfrm>
          <a:off x="609600" y="6238875"/>
          <a:ext cx="257175" cy="238125"/>
        </a:xfrm>
        <a:prstGeom prst="rect">
          <a:avLst/>
        </a:prstGeom>
        <a:noFill/>
        <a:ln w="9525" cmpd="sng">
          <a:noFill/>
        </a:ln>
      </xdr:spPr>
    </xdr:pic>
    <xdr:clientData/>
  </xdr:twoCellAnchor>
  <xdr:twoCellAnchor editAs="oneCell">
    <xdr:from>
      <xdr:col>1</xdr:col>
      <xdr:colOff>0</xdr:colOff>
      <xdr:row>34</xdr:row>
      <xdr:rowOff>0</xdr:rowOff>
    </xdr:from>
    <xdr:to>
      <xdr:col>1</xdr:col>
      <xdr:colOff>257175</xdr:colOff>
      <xdr:row>35</xdr:row>
      <xdr:rowOff>47625</xdr:rowOff>
    </xdr:to>
    <xdr:pic>
      <xdr:nvPicPr>
        <xdr:cNvPr id="15" name="Picture 15"/>
        <xdr:cNvPicPr preferRelativeResize="1">
          <a:picLocks noChangeAspect="1"/>
        </xdr:cNvPicPr>
      </xdr:nvPicPr>
      <xdr:blipFill>
        <a:blip r:embed="rId1"/>
        <a:stretch>
          <a:fillRect/>
        </a:stretch>
      </xdr:blipFill>
      <xdr:spPr>
        <a:xfrm>
          <a:off x="609600" y="6629400"/>
          <a:ext cx="257175" cy="238125"/>
        </a:xfrm>
        <a:prstGeom prst="rect">
          <a:avLst/>
        </a:prstGeom>
        <a:noFill/>
        <a:ln w="9525" cmpd="sng">
          <a:noFill/>
        </a:ln>
      </xdr:spPr>
    </xdr:pic>
    <xdr:clientData/>
  </xdr:twoCellAnchor>
  <xdr:twoCellAnchor editAs="oneCell">
    <xdr:from>
      <xdr:col>1</xdr:col>
      <xdr:colOff>0</xdr:colOff>
      <xdr:row>36</xdr:row>
      <xdr:rowOff>0</xdr:rowOff>
    </xdr:from>
    <xdr:to>
      <xdr:col>1</xdr:col>
      <xdr:colOff>257175</xdr:colOff>
      <xdr:row>37</xdr:row>
      <xdr:rowOff>47625</xdr:rowOff>
    </xdr:to>
    <xdr:pic>
      <xdr:nvPicPr>
        <xdr:cNvPr id="16" name="Picture 16"/>
        <xdr:cNvPicPr preferRelativeResize="1">
          <a:picLocks noChangeAspect="1"/>
        </xdr:cNvPicPr>
      </xdr:nvPicPr>
      <xdr:blipFill>
        <a:blip r:embed="rId1"/>
        <a:stretch>
          <a:fillRect/>
        </a:stretch>
      </xdr:blipFill>
      <xdr:spPr>
        <a:xfrm>
          <a:off x="609600" y="7019925"/>
          <a:ext cx="257175" cy="238125"/>
        </a:xfrm>
        <a:prstGeom prst="rect">
          <a:avLst/>
        </a:prstGeom>
        <a:noFill/>
        <a:ln w="9525" cmpd="sng">
          <a:noFill/>
        </a:ln>
      </xdr:spPr>
    </xdr:pic>
    <xdr:clientData/>
  </xdr:twoCellAnchor>
  <xdr:twoCellAnchor editAs="oneCell">
    <xdr:from>
      <xdr:col>1</xdr:col>
      <xdr:colOff>0</xdr:colOff>
      <xdr:row>38</xdr:row>
      <xdr:rowOff>0</xdr:rowOff>
    </xdr:from>
    <xdr:to>
      <xdr:col>1</xdr:col>
      <xdr:colOff>257175</xdr:colOff>
      <xdr:row>39</xdr:row>
      <xdr:rowOff>47625</xdr:rowOff>
    </xdr:to>
    <xdr:pic>
      <xdr:nvPicPr>
        <xdr:cNvPr id="17" name="Picture 17"/>
        <xdr:cNvPicPr preferRelativeResize="1">
          <a:picLocks noChangeAspect="1"/>
        </xdr:cNvPicPr>
      </xdr:nvPicPr>
      <xdr:blipFill>
        <a:blip r:embed="rId1"/>
        <a:stretch>
          <a:fillRect/>
        </a:stretch>
      </xdr:blipFill>
      <xdr:spPr>
        <a:xfrm>
          <a:off x="609600" y="7410450"/>
          <a:ext cx="257175" cy="238125"/>
        </a:xfrm>
        <a:prstGeom prst="rect">
          <a:avLst/>
        </a:prstGeom>
        <a:noFill/>
        <a:ln w="9525" cmpd="sng">
          <a:noFill/>
        </a:ln>
      </xdr:spPr>
    </xdr:pic>
    <xdr:clientData/>
  </xdr:twoCellAnchor>
  <xdr:twoCellAnchor editAs="oneCell">
    <xdr:from>
      <xdr:col>1</xdr:col>
      <xdr:colOff>0</xdr:colOff>
      <xdr:row>40</xdr:row>
      <xdr:rowOff>0</xdr:rowOff>
    </xdr:from>
    <xdr:to>
      <xdr:col>1</xdr:col>
      <xdr:colOff>257175</xdr:colOff>
      <xdr:row>41</xdr:row>
      <xdr:rowOff>47625</xdr:rowOff>
    </xdr:to>
    <xdr:pic>
      <xdr:nvPicPr>
        <xdr:cNvPr id="18" name="Picture 18"/>
        <xdr:cNvPicPr preferRelativeResize="1">
          <a:picLocks noChangeAspect="1"/>
        </xdr:cNvPicPr>
      </xdr:nvPicPr>
      <xdr:blipFill>
        <a:blip r:embed="rId1"/>
        <a:stretch>
          <a:fillRect/>
        </a:stretch>
      </xdr:blipFill>
      <xdr:spPr>
        <a:xfrm>
          <a:off x="609600" y="7800975"/>
          <a:ext cx="257175" cy="238125"/>
        </a:xfrm>
        <a:prstGeom prst="rect">
          <a:avLst/>
        </a:prstGeom>
        <a:noFill/>
        <a:ln w="9525" cmpd="sng">
          <a:noFill/>
        </a:ln>
      </xdr:spPr>
    </xdr:pic>
    <xdr:clientData/>
  </xdr:twoCellAnchor>
  <xdr:twoCellAnchor editAs="oneCell">
    <xdr:from>
      <xdr:col>1</xdr:col>
      <xdr:colOff>0</xdr:colOff>
      <xdr:row>42</xdr:row>
      <xdr:rowOff>0</xdr:rowOff>
    </xdr:from>
    <xdr:to>
      <xdr:col>1</xdr:col>
      <xdr:colOff>257175</xdr:colOff>
      <xdr:row>43</xdr:row>
      <xdr:rowOff>47625</xdr:rowOff>
    </xdr:to>
    <xdr:pic>
      <xdr:nvPicPr>
        <xdr:cNvPr id="19" name="Picture 19"/>
        <xdr:cNvPicPr preferRelativeResize="1">
          <a:picLocks noChangeAspect="1"/>
        </xdr:cNvPicPr>
      </xdr:nvPicPr>
      <xdr:blipFill>
        <a:blip r:embed="rId1"/>
        <a:stretch>
          <a:fillRect/>
        </a:stretch>
      </xdr:blipFill>
      <xdr:spPr>
        <a:xfrm>
          <a:off x="609600" y="8191500"/>
          <a:ext cx="257175" cy="238125"/>
        </a:xfrm>
        <a:prstGeom prst="rect">
          <a:avLst/>
        </a:prstGeom>
        <a:noFill/>
        <a:ln w="9525" cmpd="sng">
          <a:noFill/>
        </a:ln>
      </xdr:spPr>
    </xdr:pic>
    <xdr:clientData/>
  </xdr:twoCellAnchor>
  <xdr:twoCellAnchor editAs="oneCell">
    <xdr:from>
      <xdr:col>1</xdr:col>
      <xdr:colOff>0</xdr:colOff>
      <xdr:row>44</xdr:row>
      <xdr:rowOff>0</xdr:rowOff>
    </xdr:from>
    <xdr:to>
      <xdr:col>1</xdr:col>
      <xdr:colOff>257175</xdr:colOff>
      <xdr:row>45</xdr:row>
      <xdr:rowOff>47625</xdr:rowOff>
    </xdr:to>
    <xdr:pic>
      <xdr:nvPicPr>
        <xdr:cNvPr id="20" name="Picture 20"/>
        <xdr:cNvPicPr preferRelativeResize="1">
          <a:picLocks noChangeAspect="1"/>
        </xdr:cNvPicPr>
      </xdr:nvPicPr>
      <xdr:blipFill>
        <a:blip r:embed="rId1"/>
        <a:stretch>
          <a:fillRect/>
        </a:stretch>
      </xdr:blipFill>
      <xdr:spPr>
        <a:xfrm>
          <a:off x="609600" y="8582025"/>
          <a:ext cx="257175" cy="238125"/>
        </a:xfrm>
        <a:prstGeom prst="rect">
          <a:avLst/>
        </a:prstGeom>
        <a:noFill/>
        <a:ln w="9525" cmpd="sng">
          <a:noFill/>
        </a:ln>
      </xdr:spPr>
    </xdr:pic>
    <xdr:clientData/>
  </xdr:twoCellAnchor>
  <xdr:twoCellAnchor editAs="oneCell">
    <xdr:from>
      <xdr:col>1</xdr:col>
      <xdr:colOff>0</xdr:colOff>
      <xdr:row>46</xdr:row>
      <xdr:rowOff>0</xdr:rowOff>
    </xdr:from>
    <xdr:to>
      <xdr:col>1</xdr:col>
      <xdr:colOff>257175</xdr:colOff>
      <xdr:row>47</xdr:row>
      <xdr:rowOff>47625</xdr:rowOff>
    </xdr:to>
    <xdr:pic>
      <xdr:nvPicPr>
        <xdr:cNvPr id="21" name="Picture 21"/>
        <xdr:cNvPicPr preferRelativeResize="1">
          <a:picLocks noChangeAspect="1"/>
        </xdr:cNvPicPr>
      </xdr:nvPicPr>
      <xdr:blipFill>
        <a:blip r:embed="rId1"/>
        <a:stretch>
          <a:fillRect/>
        </a:stretch>
      </xdr:blipFill>
      <xdr:spPr>
        <a:xfrm>
          <a:off x="609600" y="8972550"/>
          <a:ext cx="257175" cy="238125"/>
        </a:xfrm>
        <a:prstGeom prst="rect">
          <a:avLst/>
        </a:prstGeom>
        <a:noFill/>
        <a:ln w="9525" cmpd="sng">
          <a:noFill/>
        </a:ln>
      </xdr:spPr>
    </xdr:pic>
    <xdr:clientData/>
  </xdr:twoCellAnchor>
  <xdr:twoCellAnchor editAs="oneCell">
    <xdr:from>
      <xdr:col>1</xdr:col>
      <xdr:colOff>0</xdr:colOff>
      <xdr:row>48</xdr:row>
      <xdr:rowOff>0</xdr:rowOff>
    </xdr:from>
    <xdr:to>
      <xdr:col>1</xdr:col>
      <xdr:colOff>257175</xdr:colOff>
      <xdr:row>49</xdr:row>
      <xdr:rowOff>47625</xdr:rowOff>
    </xdr:to>
    <xdr:pic>
      <xdr:nvPicPr>
        <xdr:cNvPr id="22" name="Picture 22"/>
        <xdr:cNvPicPr preferRelativeResize="1">
          <a:picLocks noChangeAspect="1"/>
        </xdr:cNvPicPr>
      </xdr:nvPicPr>
      <xdr:blipFill>
        <a:blip r:embed="rId1"/>
        <a:stretch>
          <a:fillRect/>
        </a:stretch>
      </xdr:blipFill>
      <xdr:spPr>
        <a:xfrm>
          <a:off x="609600" y="9363075"/>
          <a:ext cx="257175" cy="238125"/>
        </a:xfrm>
        <a:prstGeom prst="rect">
          <a:avLst/>
        </a:prstGeom>
        <a:noFill/>
        <a:ln w="9525" cmpd="sng">
          <a:noFill/>
        </a:ln>
      </xdr:spPr>
    </xdr:pic>
    <xdr:clientData/>
  </xdr:twoCellAnchor>
  <xdr:twoCellAnchor editAs="oneCell">
    <xdr:from>
      <xdr:col>1</xdr:col>
      <xdr:colOff>0</xdr:colOff>
      <xdr:row>50</xdr:row>
      <xdr:rowOff>0</xdr:rowOff>
    </xdr:from>
    <xdr:to>
      <xdr:col>1</xdr:col>
      <xdr:colOff>257175</xdr:colOff>
      <xdr:row>51</xdr:row>
      <xdr:rowOff>47625</xdr:rowOff>
    </xdr:to>
    <xdr:pic>
      <xdr:nvPicPr>
        <xdr:cNvPr id="23" name="Picture 23"/>
        <xdr:cNvPicPr preferRelativeResize="1">
          <a:picLocks noChangeAspect="1"/>
        </xdr:cNvPicPr>
      </xdr:nvPicPr>
      <xdr:blipFill>
        <a:blip r:embed="rId1"/>
        <a:stretch>
          <a:fillRect/>
        </a:stretch>
      </xdr:blipFill>
      <xdr:spPr>
        <a:xfrm>
          <a:off x="609600" y="9753600"/>
          <a:ext cx="257175" cy="238125"/>
        </a:xfrm>
        <a:prstGeom prst="rect">
          <a:avLst/>
        </a:prstGeom>
        <a:noFill/>
        <a:ln w="9525" cmpd="sng">
          <a:noFill/>
        </a:ln>
      </xdr:spPr>
    </xdr:pic>
    <xdr:clientData/>
  </xdr:twoCellAnchor>
  <xdr:twoCellAnchor editAs="oneCell">
    <xdr:from>
      <xdr:col>1</xdr:col>
      <xdr:colOff>0</xdr:colOff>
      <xdr:row>52</xdr:row>
      <xdr:rowOff>0</xdr:rowOff>
    </xdr:from>
    <xdr:to>
      <xdr:col>1</xdr:col>
      <xdr:colOff>257175</xdr:colOff>
      <xdr:row>53</xdr:row>
      <xdr:rowOff>47625</xdr:rowOff>
    </xdr:to>
    <xdr:pic>
      <xdr:nvPicPr>
        <xdr:cNvPr id="24" name="Picture 24"/>
        <xdr:cNvPicPr preferRelativeResize="1">
          <a:picLocks noChangeAspect="1"/>
        </xdr:cNvPicPr>
      </xdr:nvPicPr>
      <xdr:blipFill>
        <a:blip r:embed="rId1"/>
        <a:stretch>
          <a:fillRect/>
        </a:stretch>
      </xdr:blipFill>
      <xdr:spPr>
        <a:xfrm>
          <a:off x="609600" y="10144125"/>
          <a:ext cx="257175" cy="238125"/>
        </a:xfrm>
        <a:prstGeom prst="rect">
          <a:avLst/>
        </a:prstGeom>
        <a:noFill/>
        <a:ln w="9525" cmpd="sng">
          <a:noFill/>
        </a:ln>
      </xdr:spPr>
    </xdr:pic>
    <xdr:clientData/>
  </xdr:twoCellAnchor>
  <xdr:twoCellAnchor editAs="oneCell">
    <xdr:from>
      <xdr:col>1</xdr:col>
      <xdr:colOff>0</xdr:colOff>
      <xdr:row>54</xdr:row>
      <xdr:rowOff>0</xdr:rowOff>
    </xdr:from>
    <xdr:to>
      <xdr:col>1</xdr:col>
      <xdr:colOff>257175</xdr:colOff>
      <xdr:row>55</xdr:row>
      <xdr:rowOff>47625</xdr:rowOff>
    </xdr:to>
    <xdr:pic>
      <xdr:nvPicPr>
        <xdr:cNvPr id="25" name="Picture 25"/>
        <xdr:cNvPicPr preferRelativeResize="1">
          <a:picLocks noChangeAspect="1"/>
        </xdr:cNvPicPr>
      </xdr:nvPicPr>
      <xdr:blipFill>
        <a:blip r:embed="rId1"/>
        <a:stretch>
          <a:fillRect/>
        </a:stretch>
      </xdr:blipFill>
      <xdr:spPr>
        <a:xfrm>
          <a:off x="609600" y="10534650"/>
          <a:ext cx="257175" cy="238125"/>
        </a:xfrm>
        <a:prstGeom prst="rect">
          <a:avLst/>
        </a:prstGeom>
        <a:noFill/>
        <a:ln w="9525" cmpd="sng">
          <a:noFill/>
        </a:ln>
      </xdr:spPr>
    </xdr:pic>
    <xdr:clientData/>
  </xdr:twoCellAnchor>
  <xdr:twoCellAnchor editAs="oneCell">
    <xdr:from>
      <xdr:col>1</xdr:col>
      <xdr:colOff>0</xdr:colOff>
      <xdr:row>56</xdr:row>
      <xdr:rowOff>0</xdr:rowOff>
    </xdr:from>
    <xdr:to>
      <xdr:col>1</xdr:col>
      <xdr:colOff>257175</xdr:colOff>
      <xdr:row>57</xdr:row>
      <xdr:rowOff>47625</xdr:rowOff>
    </xdr:to>
    <xdr:pic>
      <xdr:nvPicPr>
        <xdr:cNvPr id="26" name="Picture 26"/>
        <xdr:cNvPicPr preferRelativeResize="1">
          <a:picLocks noChangeAspect="1"/>
        </xdr:cNvPicPr>
      </xdr:nvPicPr>
      <xdr:blipFill>
        <a:blip r:embed="rId1"/>
        <a:stretch>
          <a:fillRect/>
        </a:stretch>
      </xdr:blipFill>
      <xdr:spPr>
        <a:xfrm>
          <a:off x="609600" y="10925175"/>
          <a:ext cx="257175" cy="238125"/>
        </a:xfrm>
        <a:prstGeom prst="rect">
          <a:avLst/>
        </a:prstGeom>
        <a:noFill/>
        <a:ln w="9525" cmpd="sng">
          <a:noFill/>
        </a:ln>
      </xdr:spPr>
    </xdr:pic>
    <xdr:clientData/>
  </xdr:twoCellAnchor>
  <xdr:twoCellAnchor editAs="oneCell">
    <xdr:from>
      <xdr:col>1</xdr:col>
      <xdr:colOff>0</xdr:colOff>
      <xdr:row>58</xdr:row>
      <xdr:rowOff>0</xdr:rowOff>
    </xdr:from>
    <xdr:to>
      <xdr:col>1</xdr:col>
      <xdr:colOff>257175</xdr:colOff>
      <xdr:row>59</xdr:row>
      <xdr:rowOff>47625</xdr:rowOff>
    </xdr:to>
    <xdr:pic>
      <xdr:nvPicPr>
        <xdr:cNvPr id="27" name="Picture 27"/>
        <xdr:cNvPicPr preferRelativeResize="1">
          <a:picLocks noChangeAspect="1"/>
        </xdr:cNvPicPr>
      </xdr:nvPicPr>
      <xdr:blipFill>
        <a:blip r:embed="rId1"/>
        <a:stretch>
          <a:fillRect/>
        </a:stretch>
      </xdr:blipFill>
      <xdr:spPr>
        <a:xfrm>
          <a:off x="609600" y="11315700"/>
          <a:ext cx="257175" cy="238125"/>
        </a:xfrm>
        <a:prstGeom prst="rect">
          <a:avLst/>
        </a:prstGeom>
        <a:noFill/>
        <a:ln w="9525" cmpd="sng">
          <a:noFill/>
        </a:ln>
      </xdr:spPr>
    </xdr:pic>
    <xdr:clientData/>
  </xdr:twoCellAnchor>
  <xdr:twoCellAnchor editAs="oneCell">
    <xdr:from>
      <xdr:col>1</xdr:col>
      <xdr:colOff>0</xdr:colOff>
      <xdr:row>60</xdr:row>
      <xdr:rowOff>0</xdr:rowOff>
    </xdr:from>
    <xdr:to>
      <xdr:col>1</xdr:col>
      <xdr:colOff>257175</xdr:colOff>
      <xdr:row>61</xdr:row>
      <xdr:rowOff>47625</xdr:rowOff>
    </xdr:to>
    <xdr:pic>
      <xdr:nvPicPr>
        <xdr:cNvPr id="28" name="Picture 28"/>
        <xdr:cNvPicPr preferRelativeResize="1">
          <a:picLocks noChangeAspect="1"/>
        </xdr:cNvPicPr>
      </xdr:nvPicPr>
      <xdr:blipFill>
        <a:blip r:embed="rId1"/>
        <a:stretch>
          <a:fillRect/>
        </a:stretch>
      </xdr:blipFill>
      <xdr:spPr>
        <a:xfrm>
          <a:off x="609600" y="11706225"/>
          <a:ext cx="257175" cy="238125"/>
        </a:xfrm>
        <a:prstGeom prst="rect">
          <a:avLst/>
        </a:prstGeom>
        <a:noFill/>
        <a:ln w="9525" cmpd="sng">
          <a:noFill/>
        </a:ln>
      </xdr:spPr>
    </xdr:pic>
    <xdr:clientData/>
  </xdr:twoCellAnchor>
  <xdr:twoCellAnchor editAs="oneCell">
    <xdr:from>
      <xdr:col>1</xdr:col>
      <xdr:colOff>0</xdr:colOff>
      <xdr:row>62</xdr:row>
      <xdr:rowOff>0</xdr:rowOff>
    </xdr:from>
    <xdr:to>
      <xdr:col>1</xdr:col>
      <xdr:colOff>257175</xdr:colOff>
      <xdr:row>63</xdr:row>
      <xdr:rowOff>47625</xdr:rowOff>
    </xdr:to>
    <xdr:pic>
      <xdr:nvPicPr>
        <xdr:cNvPr id="29" name="Picture 29"/>
        <xdr:cNvPicPr preferRelativeResize="1">
          <a:picLocks noChangeAspect="1"/>
        </xdr:cNvPicPr>
      </xdr:nvPicPr>
      <xdr:blipFill>
        <a:blip r:embed="rId1"/>
        <a:stretch>
          <a:fillRect/>
        </a:stretch>
      </xdr:blipFill>
      <xdr:spPr>
        <a:xfrm>
          <a:off x="609600" y="12096750"/>
          <a:ext cx="257175" cy="238125"/>
        </a:xfrm>
        <a:prstGeom prst="rect">
          <a:avLst/>
        </a:prstGeom>
        <a:noFill/>
        <a:ln w="9525" cmpd="sng">
          <a:noFill/>
        </a:ln>
      </xdr:spPr>
    </xdr:pic>
    <xdr:clientData/>
  </xdr:twoCellAnchor>
  <xdr:twoCellAnchor editAs="oneCell">
    <xdr:from>
      <xdr:col>1</xdr:col>
      <xdr:colOff>0</xdr:colOff>
      <xdr:row>64</xdr:row>
      <xdr:rowOff>0</xdr:rowOff>
    </xdr:from>
    <xdr:to>
      <xdr:col>1</xdr:col>
      <xdr:colOff>257175</xdr:colOff>
      <xdr:row>65</xdr:row>
      <xdr:rowOff>47625</xdr:rowOff>
    </xdr:to>
    <xdr:pic>
      <xdr:nvPicPr>
        <xdr:cNvPr id="30" name="Picture 30"/>
        <xdr:cNvPicPr preferRelativeResize="1">
          <a:picLocks noChangeAspect="1"/>
        </xdr:cNvPicPr>
      </xdr:nvPicPr>
      <xdr:blipFill>
        <a:blip r:embed="rId1"/>
        <a:stretch>
          <a:fillRect/>
        </a:stretch>
      </xdr:blipFill>
      <xdr:spPr>
        <a:xfrm>
          <a:off x="609600" y="12487275"/>
          <a:ext cx="257175" cy="238125"/>
        </a:xfrm>
        <a:prstGeom prst="rect">
          <a:avLst/>
        </a:prstGeom>
        <a:noFill/>
        <a:ln w="9525" cmpd="sng">
          <a:noFill/>
        </a:ln>
      </xdr:spPr>
    </xdr:pic>
    <xdr:clientData/>
  </xdr:twoCellAnchor>
  <xdr:twoCellAnchor editAs="oneCell">
    <xdr:from>
      <xdr:col>1</xdr:col>
      <xdr:colOff>0</xdr:colOff>
      <xdr:row>66</xdr:row>
      <xdr:rowOff>0</xdr:rowOff>
    </xdr:from>
    <xdr:to>
      <xdr:col>1</xdr:col>
      <xdr:colOff>257175</xdr:colOff>
      <xdr:row>67</xdr:row>
      <xdr:rowOff>47625</xdr:rowOff>
    </xdr:to>
    <xdr:pic>
      <xdr:nvPicPr>
        <xdr:cNvPr id="31" name="Picture 31"/>
        <xdr:cNvPicPr preferRelativeResize="1">
          <a:picLocks noChangeAspect="1"/>
        </xdr:cNvPicPr>
      </xdr:nvPicPr>
      <xdr:blipFill>
        <a:blip r:embed="rId1"/>
        <a:stretch>
          <a:fillRect/>
        </a:stretch>
      </xdr:blipFill>
      <xdr:spPr>
        <a:xfrm>
          <a:off x="609600" y="12877800"/>
          <a:ext cx="257175" cy="238125"/>
        </a:xfrm>
        <a:prstGeom prst="rect">
          <a:avLst/>
        </a:prstGeom>
        <a:noFill/>
        <a:ln w="9525" cmpd="sng">
          <a:noFill/>
        </a:ln>
      </xdr:spPr>
    </xdr:pic>
    <xdr:clientData/>
  </xdr:twoCellAnchor>
  <xdr:twoCellAnchor editAs="oneCell">
    <xdr:from>
      <xdr:col>1</xdr:col>
      <xdr:colOff>0</xdr:colOff>
      <xdr:row>68</xdr:row>
      <xdr:rowOff>0</xdr:rowOff>
    </xdr:from>
    <xdr:to>
      <xdr:col>1</xdr:col>
      <xdr:colOff>257175</xdr:colOff>
      <xdr:row>69</xdr:row>
      <xdr:rowOff>47625</xdr:rowOff>
    </xdr:to>
    <xdr:pic>
      <xdr:nvPicPr>
        <xdr:cNvPr id="32" name="Picture 32"/>
        <xdr:cNvPicPr preferRelativeResize="1">
          <a:picLocks noChangeAspect="1"/>
        </xdr:cNvPicPr>
      </xdr:nvPicPr>
      <xdr:blipFill>
        <a:blip r:embed="rId1"/>
        <a:stretch>
          <a:fillRect/>
        </a:stretch>
      </xdr:blipFill>
      <xdr:spPr>
        <a:xfrm>
          <a:off x="609600" y="13268325"/>
          <a:ext cx="257175" cy="238125"/>
        </a:xfrm>
        <a:prstGeom prst="rect">
          <a:avLst/>
        </a:prstGeom>
        <a:noFill/>
        <a:ln w="9525" cmpd="sng">
          <a:noFill/>
        </a:ln>
      </xdr:spPr>
    </xdr:pic>
    <xdr:clientData/>
  </xdr:twoCellAnchor>
  <xdr:twoCellAnchor editAs="oneCell">
    <xdr:from>
      <xdr:col>1</xdr:col>
      <xdr:colOff>0</xdr:colOff>
      <xdr:row>70</xdr:row>
      <xdr:rowOff>0</xdr:rowOff>
    </xdr:from>
    <xdr:to>
      <xdr:col>1</xdr:col>
      <xdr:colOff>257175</xdr:colOff>
      <xdr:row>71</xdr:row>
      <xdr:rowOff>47625</xdr:rowOff>
    </xdr:to>
    <xdr:pic>
      <xdr:nvPicPr>
        <xdr:cNvPr id="33" name="Picture 33"/>
        <xdr:cNvPicPr preferRelativeResize="1">
          <a:picLocks noChangeAspect="1"/>
        </xdr:cNvPicPr>
      </xdr:nvPicPr>
      <xdr:blipFill>
        <a:blip r:embed="rId1"/>
        <a:stretch>
          <a:fillRect/>
        </a:stretch>
      </xdr:blipFill>
      <xdr:spPr>
        <a:xfrm>
          <a:off x="609600" y="13658850"/>
          <a:ext cx="257175" cy="238125"/>
        </a:xfrm>
        <a:prstGeom prst="rect">
          <a:avLst/>
        </a:prstGeom>
        <a:noFill/>
        <a:ln w="9525" cmpd="sng">
          <a:noFill/>
        </a:ln>
      </xdr:spPr>
    </xdr:pic>
    <xdr:clientData/>
  </xdr:twoCellAnchor>
  <xdr:twoCellAnchor editAs="oneCell">
    <xdr:from>
      <xdr:col>1</xdr:col>
      <xdr:colOff>0</xdr:colOff>
      <xdr:row>72</xdr:row>
      <xdr:rowOff>0</xdr:rowOff>
    </xdr:from>
    <xdr:to>
      <xdr:col>1</xdr:col>
      <xdr:colOff>257175</xdr:colOff>
      <xdr:row>73</xdr:row>
      <xdr:rowOff>47625</xdr:rowOff>
    </xdr:to>
    <xdr:pic>
      <xdr:nvPicPr>
        <xdr:cNvPr id="34" name="Picture 34"/>
        <xdr:cNvPicPr preferRelativeResize="1">
          <a:picLocks noChangeAspect="1"/>
        </xdr:cNvPicPr>
      </xdr:nvPicPr>
      <xdr:blipFill>
        <a:blip r:embed="rId1"/>
        <a:stretch>
          <a:fillRect/>
        </a:stretch>
      </xdr:blipFill>
      <xdr:spPr>
        <a:xfrm>
          <a:off x="609600" y="14049375"/>
          <a:ext cx="257175" cy="238125"/>
        </a:xfrm>
        <a:prstGeom prst="rect">
          <a:avLst/>
        </a:prstGeom>
        <a:noFill/>
        <a:ln w="9525" cmpd="sng">
          <a:noFill/>
        </a:ln>
      </xdr:spPr>
    </xdr:pic>
    <xdr:clientData/>
  </xdr:twoCellAnchor>
  <xdr:twoCellAnchor editAs="oneCell">
    <xdr:from>
      <xdr:col>1</xdr:col>
      <xdr:colOff>0</xdr:colOff>
      <xdr:row>74</xdr:row>
      <xdr:rowOff>0</xdr:rowOff>
    </xdr:from>
    <xdr:to>
      <xdr:col>1</xdr:col>
      <xdr:colOff>257175</xdr:colOff>
      <xdr:row>75</xdr:row>
      <xdr:rowOff>47625</xdr:rowOff>
    </xdr:to>
    <xdr:pic>
      <xdr:nvPicPr>
        <xdr:cNvPr id="35" name="Picture 35"/>
        <xdr:cNvPicPr preferRelativeResize="1">
          <a:picLocks noChangeAspect="1"/>
        </xdr:cNvPicPr>
      </xdr:nvPicPr>
      <xdr:blipFill>
        <a:blip r:embed="rId1"/>
        <a:stretch>
          <a:fillRect/>
        </a:stretch>
      </xdr:blipFill>
      <xdr:spPr>
        <a:xfrm>
          <a:off x="609600" y="14439900"/>
          <a:ext cx="257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zorro.gov.ua/plan/UA-P-2018-01-16-004178-a" TargetMode="External" /><Relationship Id="rId2" Type="http://schemas.openxmlformats.org/officeDocument/2006/relationships/hyperlink" Target="https://bid.e-tender.biz/#/updatePlan/a3f4b944c7814686955bf695e5735a25" TargetMode="External" /><Relationship Id="rId3" Type="http://schemas.openxmlformats.org/officeDocument/2006/relationships/hyperlink" Target="https://prozorro.gov.ua/plan/UA-P-2018-01-16-004177-a" TargetMode="External" /><Relationship Id="rId4" Type="http://schemas.openxmlformats.org/officeDocument/2006/relationships/hyperlink" Target="https://bid.e-tender.biz/#/updatePlan/9dcd4f38c783457cb304de08015506ef" TargetMode="External" /><Relationship Id="rId5" Type="http://schemas.openxmlformats.org/officeDocument/2006/relationships/hyperlink" Target="https://prozorro.gov.ua/plan/UA-P-2018-01-16-004170-a" TargetMode="External" /><Relationship Id="rId6" Type="http://schemas.openxmlformats.org/officeDocument/2006/relationships/hyperlink" Target="https://bid.e-tender.biz/#/updatePlan/63992852bb5846c58c360eb231387371" TargetMode="External" /><Relationship Id="rId7" Type="http://schemas.openxmlformats.org/officeDocument/2006/relationships/hyperlink" Target="https://prozorro.gov.ua/plan/UA-P-2018-01-16-004167-a" TargetMode="External" /><Relationship Id="rId8" Type="http://schemas.openxmlformats.org/officeDocument/2006/relationships/hyperlink" Target="https://bid.e-tender.biz/#/updatePlan/55358200f82149f89cfd50ffdfa33354" TargetMode="External" /><Relationship Id="rId9" Type="http://schemas.openxmlformats.org/officeDocument/2006/relationships/hyperlink" Target="https://prozorro.gov.ua/plan/UA-P-2018-01-16-004165-a" TargetMode="External" /><Relationship Id="rId10" Type="http://schemas.openxmlformats.org/officeDocument/2006/relationships/hyperlink" Target="https://bid.e-tender.biz/#/updatePlan/50c0a76591744bc392d20f50c9d04b37" TargetMode="External" /><Relationship Id="rId11" Type="http://schemas.openxmlformats.org/officeDocument/2006/relationships/hyperlink" Target="https://prozorro.gov.ua/plan/UA-P-2018-01-16-004164-a" TargetMode="External" /><Relationship Id="rId12" Type="http://schemas.openxmlformats.org/officeDocument/2006/relationships/hyperlink" Target="https://bid.e-tender.biz/#/updatePlan/4bbb3356bb1d401499df516133465812" TargetMode="External" /><Relationship Id="rId13" Type="http://schemas.openxmlformats.org/officeDocument/2006/relationships/hyperlink" Target="https://prozorro.gov.ua/plan/UA-P-2018-01-16-004154-a" TargetMode="External" /><Relationship Id="rId14" Type="http://schemas.openxmlformats.org/officeDocument/2006/relationships/hyperlink" Target="https://bid.e-tender.biz/#/updatePlan/04223862f7854eb587b052126599a5bb" TargetMode="External" /><Relationship Id="rId15" Type="http://schemas.openxmlformats.org/officeDocument/2006/relationships/hyperlink" Target="https://prozorro.gov.ua/plan/UA-P-2018-01-16-004188-a" TargetMode="External" /><Relationship Id="rId16" Type="http://schemas.openxmlformats.org/officeDocument/2006/relationships/hyperlink" Target="https://bid.e-tender.biz/#/updatePlan/eef92f92ae9644dbb491ddd14c6b5784" TargetMode="External" /><Relationship Id="rId17" Type="http://schemas.openxmlformats.org/officeDocument/2006/relationships/hyperlink" Target="https://prozorro.gov.ua/plan/UA-P-2018-01-16-004185-a" TargetMode="External" /><Relationship Id="rId18" Type="http://schemas.openxmlformats.org/officeDocument/2006/relationships/hyperlink" Target="https://bid.e-tender.biz/#/updatePlan/eabef8729c9d4ba89ca703dbc54b491f" TargetMode="External" /><Relationship Id="rId19" Type="http://schemas.openxmlformats.org/officeDocument/2006/relationships/hyperlink" Target="https://prozorro.gov.ua/plan/UA-P-2018-01-16-004184-a" TargetMode="External" /><Relationship Id="rId20" Type="http://schemas.openxmlformats.org/officeDocument/2006/relationships/hyperlink" Target="https://bid.e-tender.biz/#/updatePlan/c2baf42c1d1c4ba9a1d14cc0aca21503" TargetMode="External" /><Relationship Id="rId21" Type="http://schemas.openxmlformats.org/officeDocument/2006/relationships/hyperlink" Target="https://prozorro.gov.ua/plan/UA-P-2018-01-16-004175-a" TargetMode="External" /><Relationship Id="rId22" Type="http://schemas.openxmlformats.org/officeDocument/2006/relationships/hyperlink" Target="https://bid.e-tender.biz/#/updatePlan/947694e38dd94b4b9b83f1739ced610f" TargetMode="External" /><Relationship Id="rId23" Type="http://schemas.openxmlformats.org/officeDocument/2006/relationships/hyperlink" Target="https://prozorro.gov.ua/plan/UA-P-2018-01-16-004174-a" TargetMode="External" /><Relationship Id="rId24" Type="http://schemas.openxmlformats.org/officeDocument/2006/relationships/hyperlink" Target="https://bid.e-tender.biz/#/updatePlan/8ffc72fc8eea416a9d65857d60738601" TargetMode="External" /><Relationship Id="rId25" Type="http://schemas.openxmlformats.org/officeDocument/2006/relationships/hyperlink" Target="https://prozorro.gov.ua/plan/UA-P-2018-01-16-004172-a" TargetMode="External" /><Relationship Id="rId26" Type="http://schemas.openxmlformats.org/officeDocument/2006/relationships/hyperlink" Target="https://bid.e-tender.biz/#/updatePlan/806e4bc896f049db9390938a464fa2cc" TargetMode="External" /><Relationship Id="rId27" Type="http://schemas.openxmlformats.org/officeDocument/2006/relationships/hyperlink" Target="https://prozorro.gov.ua/plan/UA-P-2018-01-16-004171-a" TargetMode="External" /><Relationship Id="rId28" Type="http://schemas.openxmlformats.org/officeDocument/2006/relationships/hyperlink" Target="https://bid.e-tender.biz/#/updatePlan/773fd34576dc486cbd54d50be375b905" TargetMode="External" /><Relationship Id="rId29" Type="http://schemas.openxmlformats.org/officeDocument/2006/relationships/hyperlink" Target="https://prozorro.gov.ua/plan/UA-P-2018-01-16-004169-a" TargetMode="External" /><Relationship Id="rId30" Type="http://schemas.openxmlformats.org/officeDocument/2006/relationships/hyperlink" Target="https://bid.e-tender.biz/#/updatePlan/62e7d3e6e8d444609501e4947e974256" TargetMode="External" /><Relationship Id="rId31" Type="http://schemas.openxmlformats.org/officeDocument/2006/relationships/hyperlink" Target="https://prozorro.gov.ua/plan/UA-P-2018-01-16-004168-a" TargetMode="External" /><Relationship Id="rId32" Type="http://schemas.openxmlformats.org/officeDocument/2006/relationships/hyperlink" Target="https://bid.e-tender.biz/#/updatePlan/5da5f278304e462894724ba3dac97f43" TargetMode="External" /><Relationship Id="rId33" Type="http://schemas.openxmlformats.org/officeDocument/2006/relationships/hyperlink" Target="https://prozorro.gov.ua/plan/UA-P-2018-01-16-004166-a" TargetMode="External" /><Relationship Id="rId34" Type="http://schemas.openxmlformats.org/officeDocument/2006/relationships/hyperlink" Target="https://bid.e-tender.biz/#/updatePlan/5378c3fde3624332a7473ec34189026c" TargetMode="External" /><Relationship Id="rId35" Type="http://schemas.openxmlformats.org/officeDocument/2006/relationships/hyperlink" Target="https://prozorro.gov.ua/plan/UA-P-2018-01-16-004160-a" TargetMode="External" /><Relationship Id="rId36" Type="http://schemas.openxmlformats.org/officeDocument/2006/relationships/hyperlink" Target="https://bid.e-tender.biz/#/updatePlan/3ad69440644f493d997ec27a61748ee7" TargetMode="External" /><Relationship Id="rId37" Type="http://schemas.openxmlformats.org/officeDocument/2006/relationships/hyperlink" Target="https://prozorro.gov.ua/plan/UA-P-2018-01-16-004157-a" TargetMode="External" /><Relationship Id="rId38" Type="http://schemas.openxmlformats.org/officeDocument/2006/relationships/hyperlink" Target="https://bid.e-tender.biz/#/updatePlan/1f4303c3439c40e5a8c4dfb4a41e2abe" TargetMode="External" /><Relationship Id="rId39" Type="http://schemas.openxmlformats.org/officeDocument/2006/relationships/hyperlink" Target="https://prozorro.gov.ua/plan/UA-P-2018-01-16-004155-a" TargetMode="External" /><Relationship Id="rId40" Type="http://schemas.openxmlformats.org/officeDocument/2006/relationships/hyperlink" Target="https://bid.e-tender.biz/#/updatePlan/1154ae3422fe4d3dac87d03b16c329af" TargetMode="External" /><Relationship Id="rId41" Type="http://schemas.openxmlformats.org/officeDocument/2006/relationships/hyperlink" Target="https://prozorro.gov.ua/plan/UA-P-2018-01-16-004153-a" TargetMode="External" /><Relationship Id="rId42" Type="http://schemas.openxmlformats.org/officeDocument/2006/relationships/hyperlink" Target="https://bid.e-tender.biz/#/updatePlan/00e3749ee5534138be746eac992657d0" TargetMode="External" /><Relationship Id="rId43" Type="http://schemas.openxmlformats.org/officeDocument/2006/relationships/hyperlink" Target="https://prozorro.gov.ua/plan/UA-P-2018-01-16-004189-a" TargetMode="External" /><Relationship Id="rId44" Type="http://schemas.openxmlformats.org/officeDocument/2006/relationships/hyperlink" Target="https://bid.e-tender.biz/#/updatePlan/f932a227b5374105b35bd6bcd9ed15c8" TargetMode="External" /><Relationship Id="rId45" Type="http://schemas.openxmlformats.org/officeDocument/2006/relationships/hyperlink" Target="https://prozorro.gov.ua/plan/UA-P-2018-01-16-004187-a" TargetMode="External" /><Relationship Id="rId46" Type="http://schemas.openxmlformats.org/officeDocument/2006/relationships/hyperlink" Target="https://bid.e-tender.biz/#/updatePlan/eb2cb5cef6ac477fac26f296d983c2e3" TargetMode="External" /><Relationship Id="rId47" Type="http://schemas.openxmlformats.org/officeDocument/2006/relationships/hyperlink" Target="https://prozorro.gov.ua/plan/UA-P-2018-01-16-004186-a" TargetMode="External" /><Relationship Id="rId48" Type="http://schemas.openxmlformats.org/officeDocument/2006/relationships/hyperlink" Target="https://bid.e-tender.biz/#/updatePlan/eaee170ac93b4090b5028b2636de94d1" TargetMode="External" /><Relationship Id="rId49" Type="http://schemas.openxmlformats.org/officeDocument/2006/relationships/hyperlink" Target="https://prozorro.gov.ua/plan/UA-P-2018-01-16-004183-a" TargetMode="External" /><Relationship Id="rId50" Type="http://schemas.openxmlformats.org/officeDocument/2006/relationships/hyperlink" Target="https://bid.e-tender.biz/#/updatePlan/c0c63698557c45d3b2f4c4c55075a85c" TargetMode="External" /><Relationship Id="rId51" Type="http://schemas.openxmlformats.org/officeDocument/2006/relationships/hyperlink" Target="https://prozorro.gov.ua/plan/UA-P-2018-01-16-004182-a" TargetMode="External" /><Relationship Id="rId52" Type="http://schemas.openxmlformats.org/officeDocument/2006/relationships/hyperlink" Target="https://bid.e-tender.biz/#/updatePlan/b5e2e104c0824bdb917cdfe4a2e98ac1" TargetMode="External" /><Relationship Id="rId53" Type="http://schemas.openxmlformats.org/officeDocument/2006/relationships/hyperlink" Target="https://prozorro.gov.ua/plan/UA-P-2018-01-16-004181-a" TargetMode="External" /><Relationship Id="rId54" Type="http://schemas.openxmlformats.org/officeDocument/2006/relationships/hyperlink" Target="https://bid.e-tender.biz/#/updatePlan/b23758dcd0224e689352154d769babdd" TargetMode="External" /><Relationship Id="rId55" Type="http://schemas.openxmlformats.org/officeDocument/2006/relationships/hyperlink" Target="https://prozorro.gov.ua/plan/UA-P-2018-01-16-004180-a" TargetMode="External" /><Relationship Id="rId56" Type="http://schemas.openxmlformats.org/officeDocument/2006/relationships/hyperlink" Target="https://bid.e-tender.biz/#/updatePlan/afbf40c343f44cebbda302e8c4b0e83c" TargetMode="External" /><Relationship Id="rId57" Type="http://schemas.openxmlformats.org/officeDocument/2006/relationships/hyperlink" Target="https://prozorro.gov.ua/plan/UA-P-2018-01-16-004179-a" TargetMode="External" /><Relationship Id="rId58" Type="http://schemas.openxmlformats.org/officeDocument/2006/relationships/hyperlink" Target="https://bid.e-tender.biz/#/updatePlan/ac5fcea7c8fc4b5ca5b9240cae63e523" TargetMode="External" /><Relationship Id="rId59" Type="http://schemas.openxmlformats.org/officeDocument/2006/relationships/hyperlink" Target="https://prozorro.gov.ua/plan/UA-P-2018-01-16-004176-a" TargetMode="External" /><Relationship Id="rId60" Type="http://schemas.openxmlformats.org/officeDocument/2006/relationships/hyperlink" Target="https://bid.e-tender.biz/#/updatePlan/96215436cd7e44ccbd7ee9f2b7336906" TargetMode="External" /><Relationship Id="rId61" Type="http://schemas.openxmlformats.org/officeDocument/2006/relationships/hyperlink" Target="https://prozorro.gov.ua/plan/UA-P-2018-01-16-004173-a" TargetMode="External" /><Relationship Id="rId62" Type="http://schemas.openxmlformats.org/officeDocument/2006/relationships/hyperlink" Target="https://bid.e-tender.biz/#/updatePlan/825bb66c70f047ee888d34344141a04f" TargetMode="External" /><Relationship Id="rId63" Type="http://schemas.openxmlformats.org/officeDocument/2006/relationships/hyperlink" Target="https://prozorro.gov.ua/plan/UA-P-2018-01-16-004163-a" TargetMode="External" /><Relationship Id="rId64" Type="http://schemas.openxmlformats.org/officeDocument/2006/relationships/hyperlink" Target="https://bid.e-tender.biz/#/updatePlan/4b1c8fb13c414d319dab03177a4821d0" TargetMode="External" /><Relationship Id="rId65" Type="http://schemas.openxmlformats.org/officeDocument/2006/relationships/hyperlink" Target="https://prozorro.gov.ua/plan/UA-P-2018-01-16-004162-a" TargetMode="External" /><Relationship Id="rId66" Type="http://schemas.openxmlformats.org/officeDocument/2006/relationships/hyperlink" Target="https://bid.e-tender.biz/#/updatePlan/44a540e3ec5043b19fbe327ac4023310" TargetMode="External" /><Relationship Id="rId67" Type="http://schemas.openxmlformats.org/officeDocument/2006/relationships/hyperlink" Target="https://bid.e-tender.biz/#/updatePlan/3876a929742a42c78df064e3ad3f2611" TargetMode="External" /><Relationship Id="rId68" Type="http://schemas.openxmlformats.org/officeDocument/2006/relationships/hyperlink" Target="https://bid.e-tender.biz/#/updatePlan/300312a93bf548619632d9527a6607c2" TargetMode="External" /><Relationship Id="rId69" Type="http://schemas.openxmlformats.org/officeDocument/2006/relationships/hyperlink" Target="https://prozorro.gov.ua/plan/UA-P-2018-01-16-004156-a" TargetMode="External" /><Relationship Id="rId70" Type="http://schemas.openxmlformats.org/officeDocument/2006/relationships/hyperlink" Target="https://bid.e-tender.biz/#/updatePlan/1c71eedd2cf848caa1e1f4e19b36cce8" TargetMode="External" /><Relationship Id="rId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profiwins.com.ua/uk/letters-and-orders/cmu/1653-98.html"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rozorro.gov.ua/plan/UA-P-2018-01-16-004178-a" TargetMode="External" /><Relationship Id="rId2" Type="http://schemas.openxmlformats.org/officeDocument/2006/relationships/hyperlink" Target="https://bid.e-tender.biz/#/updatePlan/a3f4b944c7814686955bf695e5735a25" TargetMode="External" /><Relationship Id="rId3" Type="http://schemas.openxmlformats.org/officeDocument/2006/relationships/hyperlink" Target="https://prozorro.gov.ua/plan/UA-P-2018-01-16-004177-a" TargetMode="External" /><Relationship Id="rId4" Type="http://schemas.openxmlformats.org/officeDocument/2006/relationships/hyperlink" Target="https://bid.e-tender.biz/#/updatePlan/9dcd4f38c783457cb304de08015506ef" TargetMode="External" /><Relationship Id="rId5" Type="http://schemas.openxmlformats.org/officeDocument/2006/relationships/hyperlink" Target="https://prozorro.gov.ua/plan/UA-P-2018-01-16-004170-a" TargetMode="External" /><Relationship Id="rId6" Type="http://schemas.openxmlformats.org/officeDocument/2006/relationships/hyperlink" Target="https://bid.e-tender.biz/#/updatePlan/63992852bb5846c58c360eb231387371" TargetMode="External" /><Relationship Id="rId7" Type="http://schemas.openxmlformats.org/officeDocument/2006/relationships/hyperlink" Target="https://prozorro.gov.ua/plan/UA-P-2018-01-16-004167-a" TargetMode="External" /><Relationship Id="rId8" Type="http://schemas.openxmlformats.org/officeDocument/2006/relationships/hyperlink" Target="https://bid.e-tender.biz/#/updatePlan/55358200f82149f89cfd50ffdfa33354" TargetMode="External" /><Relationship Id="rId9" Type="http://schemas.openxmlformats.org/officeDocument/2006/relationships/hyperlink" Target="https://prozorro.gov.ua/plan/UA-P-2018-01-16-004165-a" TargetMode="External" /><Relationship Id="rId10" Type="http://schemas.openxmlformats.org/officeDocument/2006/relationships/hyperlink" Target="https://bid.e-tender.biz/#/updatePlan/50c0a76591744bc392d20f50c9d04b37" TargetMode="External" /><Relationship Id="rId11" Type="http://schemas.openxmlformats.org/officeDocument/2006/relationships/hyperlink" Target="https://prozorro.gov.ua/plan/UA-P-2018-01-16-004164-a" TargetMode="External" /><Relationship Id="rId12" Type="http://schemas.openxmlformats.org/officeDocument/2006/relationships/hyperlink" Target="https://bid.e-tender.biz/#/updatePlan/4bbb3356bb1d401499df516133465812" TargetMode="External" /><Relationship Id="rId13" Type="http://schemas.openxmlformats.org/officeDocument/2006/relationships/hyperlink" Target="https://prozorro.gov.ua/plan/UA-P-2018-01-16-004154-a" TargetMode="External" /><Relationship Id="rId14" Type="http://schemas.openxmlformats.org/officeDocument/2006/relationships/hyperlink" Target="https://bid.e-tender.biz/#/updatePlan/04223862f7854eb587b052126599a5bb" TargetMode="External" /><Relationship Id="rId15" Type="http://schemas.openxmlformats.org/officeDocument/2006/relationships/hyperlink" Target="https://prozorro.gov.ua/plan/UA-P-2018-01-16-004188-a" TargetMode="External" /><Relationship Id="rId16" Type="http://schemas.openxmlformats.org/officeDocument/2006/relationships/hyperlink" Target="https://bid.e-tender.biz/#/updatePlan/eef92f92ae9644dbb491ddd14c6b5784" TargetMode="External" /><Relationship Id="rId17" Type="http://schemas.openxmlformats.org/officeDocument/2006/relationships/hyperlink" Target="https://prozorro.gov.ua/plan/UA-P-2018-01-16-004185-a" TargetMode="External" /><Relationship Id="rId18" Type="http://schemas.openxmlformats.org/officeDocument/2006/relationships/hyperlink" Target="https://bid.e-tender.biz/#/updatePlan/eabef8729c9d4ba89ca703dbc54b491f" TargetMode="External" /><Relationship Id="rId19" Type="http://schemas.openxmlformats.org/officeDocument/2006/relationships/hyperlink" Target="https://prozorro.gov.ua/plan/UA-P-2018-01-16-004184-a" TargetMode="External" /><Relationship Id="rId20" Type="http://schemas.openxmlformats.org/officeDocument/2006/relationships/hyperlink" Target="https://bid.e-tender.biz/#/updatePlan/c2baf42c1d1c4ba9a1d14cc0aca21503" TargetMode="External" /><Relationship Id="rId21" Type="http://schemas.openxmlformats.org/officeDocument/2006/relationships/hyperlink" Target="https://prozorro.gov.ua/plan/UA-P-2018-01-16-004175-a" TargetMode="External" /><Relationship Id="rId22" Type="http://schemas.openxmlformats.org/officeDocument/2006/relationships/hyperlink" Target="https://bid.e-tender.biz/#/updatePlan/947694e38dd94b4b9b83f1739ced610f" TargetMode="External" /><Relationship Id="rId23" Type="http://schemas.openxmlformats.org/officeDocument/2006/relationships/hyperlink" Target="https://prozorro.gov.ua/plan/UA-P-2018-01-16-004174-a" TargetMode="External" /><Relationship Id="rId24" Type="http://schemas.openxmlformats.org/officeDocument/2006/relationships/hyperlink" Target="https://bid.e-tender.biz/#/updatePlan/8ffc72fc8eea416a9d65857d60738601" TargetMode="External" /><Relationship Id="rId25" Type="http://schemas.openxmlformats.org/officeDocument/2006/relationships/hyperlink" Target="https://prozorro.gov.ua/plan/UA-P-2018-01-16-004172-a" TargetMode="External" /><Relationship Id="rId26" Type="http://schemas.openxmlformats.org/officeDocument/2006/relationships/hyperlink" Target="https://bid.e-tender.biz/#/updatePlan/806e4bc896f049db9390938a464fa2cc" TargetMode="External" /><Relationship Id="rId27" Type="http://schemas.openxmlformats.org/officeDocument/2006/relationships/hyperlink" Target="https://prozorro.gov.ua/plan/UA-P-2018-01-16-004171-a" TargetMode="External" /><Relationship Id="rId28" Type="http://schemas.openxmlformats.org/officeDocument/2006/relationships/hyperlink" Target="https://bid.e-tender.biz/#/updatePlan/773fd34576dc486cbd54d50be375b905" TargetMode="External" /><Relationship Id="rId29" Type="http://schemas.openxmlformats.org/officeDocument/2006/relationships/hyperlink" Target="https://prozorro.gov.ua/plan/UA-P-2018-01-16-004169-a" TargetMode="External" /><Relationship Id="rId30" Type="http://schemas.openxmlformats.org/officeDocument/2006/relationships/hyperlink" Target="https://bid.e-tender.biz/#/updatePlan/62e7d3e6e8d444609501e4947e974256" TargetMode="External" /><Relationship Id="rId31" Type="http://schemas.openxmlformats.org/officeDocument/2006/relationships/hyperlink" Target="https://prozorro.gov.ua/plan/UA-P-2018-01-16-004168-a" TargetMode="External" /><Relationship Id="rId32" Type="http://schemas.openxmlformats.org/officeDocument/2006/relationships/hyperlink" Target="https://bid.e-tender.biz/#/updatePlan/5da5f278304e462894724ba3dac97f43" TargetMode="External" /><Relationship Id="rId33" Type="http://schemas.openxmlformats.org/officeDocument/2006/relationships/hyperlink" Target="https://prozorro.gov.ua/plan/UA-P-2018-01-16-004166-a" TargetMode="External" /><Relationship Id="rId34" Type="http://schemas.openxmlformats.org/officeDocument/2006/relationships/hyperlink" Target="https://bid.e-tender.biz/#/updatePlan/5378c3fde3624332a7473ec34189026c" TargetMode="External" /><Relationship Id="rId35" Type="http://schemas.openxmlformats.org/officeDocument/2006/relationships/hyperlink" Target="https://prozorro.gov.ua/plan/UA-P-2018-01-16-004160-a" TargetMode="External" /><Relationship Id="rId36" Type="http://schemas.openxmlformats.org/officeDocument/2006/relationships/hyperlink" Target="https://bid.e-tender.biz/#/updatePlan/3ad69440644f493d997ec27a61748ee7" TargetMode="External" /><Relationship Id="rId37" Type="http://schemas.openxmlformats.org/officeDocument/2006/relationships/hyperlink" Target="https://prozorro.gov.ua/plan/UA-P-2018-01-16-004157-a" TargetMode="External" /><Relationship Id="rId38" Type="http://schemas.openxmlformats.org/officeDocument/2006/relationships/hyperlink" Target="https://bid.e-tender.biz/#/updatePlan/1f4303c3439c40e5a8c4dfb4a41e2abe" TargetMode="External" /><Relationship Id="rId39" Type="http://schemas.openxmlformats.org/officeDocument/2006/relationships/hyperlink" Target="https://prozorro.gov.ua/plan/UA-P-2018-01-16-004155-a" TargetMode="External" /><Relationship Id="rId40" Type="http://schemas.openxmlformats.org/officeDocument/2006/relationships/hyperlink" Target="https://bid.e-tender.biz/#/updatePlan/1154ae3422fe4d3dac87d03b16c329af" TargetMode="External" /><Relationship Id="rId41" Type="http://schemas.openxmlformats.org/officeDocument/2006/relationships/hyperlink" Target="https://prozorro.gov.ua/plan/UA-P-2018-01-16-004153-a" TargetMode="External" /><Relationship Id="rId42" Type="http://schemas.openxmlformats.org/officeDocument/2006/relationships/hyperlink" Target="https://bid.e-tender.biz/#/updatePlan/00e3749ee5534138be746eac992657d0" TargetMode="External" /><Relationship Id="rId43" Type="http://schemas.openxmlformats.org/officeDocument/2006/relationships/hyperlink" Target="https://prozorro.gov.ua/plan/UA-P-2018-01-16-004189-a" TargetMode="External" /><Relationship Id="rId44" Type="http://schemas.openxmlformats.org/officeDocument/2006/relationships/hyperlink" Target="https://bid.e-tender.biz/#/updatePlan/f932a227b5374105b35bd6bcd9ed15c8" TargetMode="External" /><Relationship Id="rId45" Type="http://schemas.openxmlformats.org/officeDocument/2006/relationships/hyperlink" Target="https://prozorro.gov.ua/plan/UA-P-2018-01-16-004187-a" TargetMode="External" /><Relationship Id="rId46" Type="http://schemas.openxmlformats.org/officeDocument/2006/relationships/hyperlink" Target="https://bid.e-tender.biz/#/updatePlan/eb2cb5cef6ac477fac26f296d983c2e3" TargetMode="External" /><Relationship Id="rId47" Type="http://schemas.openxmlformats.org/officeDocument/2006/relationships/hyperlink" Target="https://prozorro.gov.ua/plan/UA-P-2018-01-16-004186-a" TargetMode="External" /><Relationship Id="rId48" Type="http://schemas.openxmlformats.org/officeDocument/2006/relationships/hyperlink" Target="https://bid.e-tender.biz/#/updatePlan/eaee170ac93b4090b5028b2636de94d1" TargetMode="External" /><Relationship Id="rId49" Type="http://schemas.openxmlformats.org/officeDocument/2006/relationships/hyperlink" Target="https://prozorro.gov.ua/plan/UA-P-2018-01-16-004183-a" TargetMode="External" /><Relationship Id="rId50" Type="http://schemas.openxmlformats.org/officeDocument/2006/relationships/hyperlink" Target="https://bid.e-tender.biz/#/updatePlan/c0c63698557c45d3b2f4c4c55075a85c" TargetMode="External" /><Relationship Id="rId51" Type="http://schemas.openxmlformats.org/officeDocument/2006/relationships/hyperlink" Target="https://prozorro.gov.ua/plan/UA-P-2018-01-16-004182-a" TargetMode="External" /><Relationship Id="rId52" Type="http://schemas.openxmlformats.org/officeDocument/2006/relationships/hyperlink" Target="https://bid.e-tender.biz/#/updatePlan/b5e2e104c0824bdb917cdfe4a2e98ac1" TargetMode="External" /><Relationship Id="rId53" Type="http://schemas.openxmlformats.org/officeDocument/2006/relationships/hyperlink" Target="https://prozorro.gov.ua/plan/UA-P-2018-01-16-004181-a" TargetMode="External" /><Relationship Id="rId54" Type="http://schemas.openxmlformats.org/officeDocument/2006/relationships/hyperlink" Target="https://bid.e-tender.biz/#/updatePlan/b23758dcd0224e689352154d769babdd" TargetMode="External" /><Relationship Id="rId55" Type="http://schemas.openxmlformats.org/officeDocument/2006/relationships/hyperlink" Target="https://prozorro.gov.ua/plan/UA-P-2018-01-16-004180-a" TargetMode="External" /><Relationship Id="rId56" Type="http://schemas.openxmlformats.org/officeDocument/2006/relationships/hyperlink" Target="https://bid.e-tender.biz/#/updatePlan/afbf40c343f44cebbda302e8c4b0e83c" TargetMode="External" /><Relationship Id="rId57" Type="http://schemas.openxmlformats.org/officeDocument/2006/relationships/hyperlink" Target="https://prozorro.gov.ua/plan/UA-P-2018-01-16-004179-a" TargetMode="External" /><Relationship Id="rId58" Type="http://schemas.openxmlformats.org/officeDocument/2006/relationships/hyperlink" Target="https://bid.e-tender.biz/#/updatePlan/ac5fcea7c8fc4b5ca5b9240cae63e523" TargetMode="External" /><Relationship Id="rId59" Type="http://schemas.openxmlformats.org/officeDocument/2006/relationships/hyperlink" Target="https://prozorro.gov.ua/plan/UA-P-2018-01-16-004176-a" TargetMode="External" /><Relationship Id="rId60" Type="http://schemas.openxmlformats.org/officeDocument/2006/relationships/hyperlink" Target="https://bid.e-tender.biz/#/updatePlan/96215436cd7e44ccbd7ee9f2b7336906" TargetMode="External" /><Relationship Id="rId61" Type="http://schemas.openxmlformats.org/officeDocument/2006/relationships/hyperlink" Target="https://prozorro.gov.ua/plan/UA-P-2018-01-16-004173-a" TargetMode="External" /><Relationship Id="rId62" Type="http://schemas.openxmlformats.org/officeDocument/2006/relationships/hyperlink" Target="https://bid.e-tender.biz/#/updatePlan/825bb66c70f047ee888d34344141a04f" TargetMode="External" /><Relationship Id="rId63" Type="http://schemas.openxmlformats.org/officeDocument/2006/relationships/hyperlink" Target="https://prozorro.gov.ua/plan/UA-P-2018-01-16-004163-a" TargetMode="External" /><Relationship Id="rId64" Type="http://schemas.openxmlformats.org/officeDocument/2006/relationships/hyperlink" Target="https://bid.e-tender.biz/#/updatePlan/4b1c8fb13c414d319dab03177a4821d0" TargetMode="External" /><Relationship Id="rId65" Type="http://schemas.openxmlformats.org/officeDocument/2006/relationships/hyperlink" Target="https://prozorro.gov.ua/plan/UA-P-2018-01-16-004162-a" TargetMode="External" /><Relationship Id="rId66" Type="http://schemas.openxmlformats.org/officeDocument/2006/relationships/hyperlink" Target="https://bid.e-tender.biz/#/updatePlan/44a540e3ec5043b19fbe327ac4023310" TargetMode="External" /><Relationship Id="rId67" Type="http://schemas.openxmlformats.org/officeDocument/2006/relationships/hyperlink" Target="https://prozorro.gov.ua/plan/UA-P-2018-01-16-004159-a" TargetMode="External" /><Relationship Id="rId68" Type="http://schemas.openxmlformats.org/officeDocument/2006/relationships/hyperlink" Target="https://bid.e-tender.biz/#/updatePlan/3876a929742a42c78df064e3ad3f2611" TargetMode="External" /><Relationship Id="rId69" Type="http://schemas.openxmlformats.org/officeDocument/2006/relationships/hyperlink" Target="https://prozorro.gov.ua/plan/UA-P-2018-01-16-004158-a" TargetMode="External" /><Relationship Id="rId70" Type="http://schemas.openxmlformats.org/officeDocument/2006/relationships/hyperlink" Target="https://bid.e-tender.biz/#/updatePlan/300312a93bf548619632d9527a6607c2" TargetMode="External" /><Relationship Id="rId71" Type="http://schemas.openxmlformats.org/officeDocument/2006/relationships/hyperlink" Target="https://prozorro.gov.ua/plan/UA-P-2018-01-16-004156-a" TargetMode="External" /><Relationship Id="rId72" Type="http://schemas.openxmlformats.org/officeDocument/2006/relationships/hyperlink" Target="https://bid.e-tender.biz/#/updatePlan/1c71eedd2cf848caa1e1f4e19b36cce8" TargetMode="External" /><Relationship Id="rId73" Type="http://schemas.openxmlformats.org/officeDocument/2006/relationships/drawing" Target="../drawings/drawing1.xml" /><Relationship Id="rId7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74"/>
  <sheetViews>
    <sheetView zoomScalePageLayoutView="0" workbookViewId="0" topLeftCell="A1">
      <selection activeCell="H33" sqref="H33"/>
    </sheetView>
  </sheetViews>
  <sheetFormatPr defaultColWidth="9.140625" defaultRowHeight="15"/>
  <cols>
    <col min="1" max="1" width="12.140625" style="0" bestFit="1" customWidth="1"/>
    <col min="2" max="2" width="54.421875" style="0" customWidth="1"/>
    <col min="3" max="3" width="55.421875" style="0" customWidth="1"/>
    <col min="4" max="4" width="9.00390625" style="53" customWidth="1"/>
    <col min="5" max="5" width="8.8515625" style="0" hidden="1" customWidth="1"/>
    <col min="6" max="6" width="4.421875" style="46" hidden="1" customWidth="1"/>
    <col min="7" max="7" width="30.421875" style="0" customWidth="1"/>
    <col min="8" max="8" width="30.421875" style="31" customWidth="1"/>
    <col min="12" max="12" width="23.7109375" style="0" bestFit="1" customWidth="1"/>
    <col min="13" max="13" width="53.8515625" style="0" customWidth="1"/>
    <col min="14" max="14" width="14.00390625" style="0" bestFit="1" customWidth="1"/>
    <col min="15" max="15" width="56.00390625" style="0" customWidth="1"/>
    <col min="16" max="16" width="33.57421875" style="0" bestFit="1" customWidth="1"/>
  </cols>
  <sheetData>
    <row r="1" spans="1:6" ht="18.75">
      <c r="A1" s="373" t="s">
        <v>163</v>
      </c>
      <c r="B1" s="373"/>
      <c r="C1" s="373"/>
      <c r="D1" s="373"/>
      <c r="E1" s="30"/>
      <c r="F1" s="30"/>
    </row>
    <row r="2" spans="1:8" ht="19.5" thickBot="1">
      <c r="A2" s="374"/>
      <c r="B2" s="374"/>
      <c r="C2" s="374"/>
      <c r="D2" s="374"/>
      <c r="E2" s="30"/>
      <c r="F2" s="30"/>
      <c r="G2" s="30"/>
      <c r="H2" s="32"/>
    </row>
    <row r="3" spans="1:16" ht="15.75">
      <c r="A3" s="25" t="s">
        <v>164</v>
      </c>
      <c r="B3" s="25" t="s">
        <v>165</v>
      </c>
      <c r="C3" s="26" t="s">
        <v>166</v>
      </c>
      <c r="D3" s="27">
        <v>198000</v>
      </c>
      <c r="E3">
        <f>1300*12*26</f>
        <v>405600</v>
      </c>
      <c r="F3" s="28">
        <v>396000</v>
      </c>
      <c r="G3" s="29" t="s">
        <v>1</v>
      </c>
      <c r="H3" s="33"/>
      <c r="L3" s="2" t="s">
        <v>1</v>
      </c>
      <c r="M3" s="375" t="s">
        <v>3</v>
      </c>
      <c r="N3" s="377" t="s">
        <v>4</v>
      </c>
      <c r="O3" s="379" t="s">
        <v>6</v>
      </c>
      <c r="P3" s="379" t="s">
        <v>8</v>
      </c>
    </row>
    <row r="4" spans="1:16" ht="16.5" thickBot="1">
      <c r="A4" s="25" t="s">
        <v>160</v>
      </c>
      <c r="B4" s="25" t="s">
        <v>161</v>
      </c>
      <c r="C4" s="26" t="s">
        <v>162</v>
      </c>
      <c r="D4" s="27">
        <v>2000</v>
      </c>
      <c r="F4" s="28">
        <v>15000</v>
      </c>
      <c r="G4" s="29" t="s">
        <v>73</v>
      </c>
      <c r="H4" s="33"/>
      <c r="L4" s="34" t="s">
        <v>2</v>
      </c>
      <c r="M4" s="376"/>
      <c r="N4" s="378"/>
      <c r="O4" s="380"/>
      <c r="P4" s="380"/>
    </row>
    <row r="5" spans="1:16" ht="15.75">
      <c r="A5" s="35" t="s">
        <v>167</v>
      </c>
      <c r="B5" s="35" t="s">
        <v>168</v>
      </c>
      <c r="C5" s="26" t="s">
        <v>169</v>
      </c>
      <c r="D5" s="27">
        <v>2000</v>
      </c>
      <c r="F5" s="28">
        <f>850+2280</f>
        <v>3130</v>
      </c>
      <c r="G5" s="29" t="s">
        <v>80</v>
      </c>
      <c r="H5" s="33"/>
      <c r="L5" s="4" t="s">
        <v>9</v>
      </c>
      <c r="M5" s="381" t="s">
        <v>10</v>
      </c>
      <c r="N5" s="383" t="s">
        <v>11</v>
      </c>
      <c r="O5" s="385" t="s">
        <v>12</v>
      </c>
      <c r="P5" s="385" t="s">
        <v>8</v>
      </c>
    </row>
    <row r="6" spans="1:16" ht="16.5" thickBot="1">
      <c r="A6" s="35" t="s">
        <v>170</v>
      </c>
      <c r="B6" s="35" t="s">
        <v>171</v>
      </c>
      <c r="C6" s="26" t="s">
        <v>172</v>
      </c>
      <c r="D6" s="27">
        <v>500</v>
      </c>
      <c r="E6">
        <f>12*8*2*30</f>
        <v>5760</v>
      </c>
      <c r="F6" s="28">
        <v>550</v>
      </c>
      <c r="G6" s="29" t="s">
        <v>275</v>
      </c>
      <c r="H6" s="33"/>
      <c r="L6" s="36" t="s">
        <v>2</v>
      </c>
      <c r="M6" s="382"/>
      <c r="N6" s="384"/>
      <c r="O6" s="386"/>
      <c r="P6" s="386"/>
    </row>
    <row r="7" spans="1:16" ht="47.25">
      <c r="A7" s="25" t="s">
        <v>173</v>
      </c>
      <c r="B7" s="25" t="s">
        <v>174</v>
      </c>
      <c r="C7" s="37"/>
      <c r="D7" s="27">
        <v>20000</v>
      </c>
      <c r="F7" s="38">
        <v>30000</v>
      </c>
      <c r="G7" s="29" t="s">
        <v>43</v>
      </c>
      <c r="H7" s="33"/>
      <c r="L7" s="6" t="s">
        <v>13</v>
      </c>
      <c r="M7" s="387" t="s">
        <v>14</v>
      </c>
      <c r="N7" s="377" t="s">
        <v>15</v>
      </c>
      <c r="O7" s="389" t="s">
        <v>16</v>
      </c>
      <c r="P7" s="389" t="s">
        <v>8</v>
      </c>
    </row>
    <row r="8" spans="1:16" ht="32.25" thickBot="1">
      <c r="A8" s="25" t="s">
        <v>175</v>
      </c>
      <c r="B8" s="25" t="s">
        <v>176</v>
      </c>
      <c r="C8" s="26" t="s">
        <v>177</v>
      </c>
      <c r="D8" s="27">
        <v>20000</v>
      </c>
      <c r="F8" s="38">
        <v>49850</v>
      </c>
      <c r="G8" s="29" t="s">
        <v>66</v>
      </c>
      <c r="H8" s="33"/>
      <c r="L8" s="39" t="s">
        <v>2</v>
      </c>
      <c r="M8" s="388"/>
      <c r="N8" s="378"/>
      <c r="O8" s="390"/>
      <c r="P8" s="390"/>
    </row>
    <row r="9" spans="1:16" ht="15.75">
      <c r="A9" s="25" t="s">
        <v>178</v>
      </c>
      <c r="B9" s="25" t="s">
        <v>179</v>
      </c>
      <c r="C9" s="26"/>
      <c r="D9" s="27">
        <v>5000</v>
      </c>
      <c r="F9" s="28">
        <v>10700</v>
      </c>
      <c r="G9" s="29" t="s">
        <v>56</v>
      </c>
      <c r="H9" s="33"/>
      <c r="L9" s="4" t="s">
        <v>17</v>
      </c>
      <c r="M9" s="381" t="s">
        <v>18</v>
      </c>
      <c r="N9" s="383" t="s">
        <v>19</v>
      </c>
      <c r="O9" s="385" t="s">
        <v>20</v>
      </c>
      <c r="P9" s="385" t="s">
        <v>8</v>
      </c>
    </row>
    <row r="10" spans="1:16" ht="16.5" thickBot="1">
      <c r="A10" s="25" t="s">
        <v>180</v>
      </c>
      <c r="B10" s="25" t="s">
        <v>181</v>
      </c>
      <c r="C10" s="26"/>
      <c r="D10" s="27">
        <v>1000</v>
      </c>
      <c r="E10">
        <v>5515</v>
      </c>
      <c r="F10" s="28">
        <v>5000</v>
      </c>
      <c r="G10" s="29" t="s">
        <v>50</v>
      </c>
      <c r="H10" s="33"/>
      <c r="L10" s="36" t="s">
        <v>2</v>
      </c>
      <c r="M10" s="382"/>
      <c r="N10" s="384"/>
      <c r="O10" s="386"/>
      <c r="P10" s="386"/>
    </row>
    <row r="11" spans="1:16" ht="15.75">
      <c r="A11" s="25" t="s">
        <v>182</v>
      </c>
      <c r="B11" s="25" t="s">
        <v>183</v>
      </c>
      <c r="C11" s="26"/>
      <c r="D11" s="27">
        <v>1000</v>
      </c>
      <c r="F11" s="28">
        <v>1300</v>
      </c>
      <c r="G11" s="29" t="s">
        <v>32</v>
      </c>
      <c r="H11" s="33"/>
      <c r="L11" s="6" t="s">
        <v>21</v>
      </c>
      <c r="M11" s="387" t="s">
        <v>22</v>
      </c>
      <c r="N11" s="377" t="s">
        <v>23</v>
      </c>
      <c r="O11" s="389" t="s">
        <v>24</v>
      </c>
      <c r="P11" s="389" t="s">
        <v>8</v>
      </c>
    </row>
    <row r="12" spans="1:16" ht="16.5" thickBot="1">
      <c r="A12" s="25" t="s">
        <v>184</v>
      </c>
      <c r="B12" s="25" t="s">
        <v>185</v>
      </c>
      <c r="C12" s="26"/>
      <c r="D12" s="27">
        <v>1000</v>
      </c>
      <c r="F12" s="28">
        <v>2000</v>
      </c>
      <c r="G12" s="29" t="s">
        <v>47</v>
      </c>
      <c r="H12" s="33"/>
      <c r="L12" s="39" t="s">
        <v>2</v>
      </c>
      <c r="M12" s="388"/>
      <c r="N12" s="378"/>
      <c r="O12" s="390"/>
      <c r="P12" s="390"/>
    </row>
    <row r="13" spans="1:16" ht="31.5">
      <c r="A13" s="25" t="s">
        <v>186</v>
      </c>
      <c r="B13" s="25" t="s">
        <v>187</v>
      </c>
      <c r="C13" s="26"/>
      <c r="D13" s="27">
        <v>2000</v>
      </c>
      <c r="F13" s="28"/>
      <c r="G13" s="29" t="s">
        <v>53</v>
      </c>
      <c r="H13" s="33"/>
      <c r="L13" s="4" t="s">
        <v>25</v>
      </c>
      <c r="M13" s="381" t="s">
        <v>26</v>
      </c>
      <c r="N13" s="377" t="s">
        <v>27</v>
      </c>
      <c r="O13" s="385" t="s">
        <v>28</v>
      </c>
      <c r="P13" s="385" t="s">
        <v>8</v>
      </c>
    </row>
    <row r="14" spans="1:16" ht="32.25" thickBot="1">
      <c r="A14" s="25" t="s">
        <v>188</v>
      </c>
      <c r="B14" s="25" t="s">
        <v>189</v>
      </c>
      <c r="C14" s="26"/>
      <c r="D14" s="27">
        <v>20000</v>
      </c>
      <c r="F14" s="40">
        <v>90000</v>
      </c>
      <c r="G14" s="29" t="s">
        <v>129</v>
      </c>
      <c r="H14" s="33"/>
      <c r="L14" s="36" t="s">
        <v>2</v>
      </c>
      <c r="M14" s="382"/>
      <c r="N14" s="378"/>
      <c r="O14" s="386"/>
      <c r="P14" s="386"/>
    </row>
    <row r="15" spans="1:16" ht="15.75">
      <c r="A15" s="35" t="s">
        <v>190</v>
      </c>
      <c r="B15" s="35" t="s">
        <v>191</v>
      </c>
      <c r="C15" s="26"/>
      <c r="D15" s="27">
        <v>1000</v>
      </c>
      <c r="F15" s="38">
        <v>4300</v>
      </c>
      <c r="G15" s="29" t="s">
        <v>114</v>
      </c>
      <c r="H15" s="33"/>
      <c r="L15" s="6" t="s">
        <v>29</v>
      </c>
      <c r="M15" s="387" t="s">
        <v>30</v>
      </c>
      <c r="N15" s="377" t="s">
        <v>27</v>
      </c>
      <c r="O15" s="389" t="s">
        <v>31</v>
      </c>
      <c r="P15" s="389" t="s">
        <v>8</v>
      </c>
    </row>
    <row r="16" spans="1:16" ht="16.5" thickBot="1">
      <c r="A16" s="25" t="s">
        <v>158</v>
      </c>
      <c r="B16" s="25" t="s">
        <v>159</v>
      </c>
      <c r="C16" s="26"/>
      <c r="D16" s="27">
        <v>30000</v>
      </c>
      <c r="F16" s="28">
        <v>32660</v>
      </c>
      <c r="G16" s="29" t="s">
        <v>125</v>
      </c>
      <c r="H16" s="33"/>
      <c r="L16" s="39" t="s">
        <v>2</v>
      </c>
      <c r="M16" s="388"/>
      <c r="N16" s="378"/>
      <c r="O16" s="390"/>
      <c r="P16" s="390"/>
    </row>
    <row r="17" spans="1:16" ht="15.75">
      <c r="A17" s="25" t="s">
        <v>192</v>
      </c>
      <c r="B17" s="25" t="s">
        <v>193</v>
      </c>
      <c r="C17" s="26"/>
      <c r="D17" s="27">
        <v>2000</v>
      </c>
      <c r="F17" s="28">
        <v>1158</v>
      </c>
      <c r="G17" s="29" t="s">
        <v>86</v>
      </c>
      <c r="H17" s="33"/>
      <c r="L17" s="4" t="s">
        <v>32</v>
      </c>
      <c r="M17" s="381" t="s">
        <v>33</v>
      </c>
      <c r="N17" s="377" t="s">
        <v>19</v>
      </c>
      <c r="O17" s="385" t="s">
        <v>34</v>
      </c>
      <c r="P17" s="385" t="s">
        <v>8</v>
      </c>
    </row>
    <row r="18" spans="1:16" ht="16.5" thickBot="1">
      <c r="A18" s="25" t="s">
        <v>194</v>
      </c>
      <c r="B18" s="25" t="s">
        <v>195</v>
      </c>
      <c r="C18" s="26" t="s">
        <v>196</v>
      </c>
      <c r="D18" s="27">
        <v>7126</v>
      </c>
      <c r="F18" s="28">
        <v>7000</v>
      </c>
      <c r="G18" s="29" t="s">
        <v>69</v>
      </c>
      <c r="H18" s="33"/>
      <c r="L18" s="36" t="s">
        <v>2</v>
      </c>
      <c r="M18" s="382"/>
      <c r="N18" s="378"/>
      <c r="O18" s="386"/>
      <c r="P18" s="386"/>
    </row>
    <row r="19" spans="1:16" ht="15.75">
      <c r="A19" s="25" t="s">
        <v>197</v>
      </c>
      <c r="B19" s="25" t="s">
        <v>198</v>
      </c>
      <c r="C19" s="26"/>
      <c r="D19" s="27">
        <v>3000</v>
      </c>
      <c r="F19" s="28">
        <v>5000</v>
      </c>
      <c r="G19" s="29" t="s">
        <v>103</v>
      </c>
      <c r="H19" s="33"/>
      <c r="L19" s="6" t="s">
        <v>35</v>
      </c>
      <c r="M19" s="387" t="s">
        <v>36</v>
      </c>
      <c r="N19" s="377" t="s">
        <v>37</v>
      </c>
      <c r="O19" s="389" t="s">
        <v>38</v>
      </c>
      <c r="P19" s="389" t="s">
        <v>8</v>
      </c>
    </row>
    <row r="20" spans="1:16" ht="16.5" thickBot="1">
      <c r="A20" s="25" t="s">
        <v>199</v>
      </c>
      <c r="B20" s="25" t="s">
        <v>200</v>
      </c>
      <c r="C20" s="26" t="s">
        <v>201</v>
      </c>
      <c r="D20" s="27">
        <v>10000</v>
      </c>
      <c r="F20" s="38">
        <v>750</v>
      </c>
      <c r="G20" s="29" t="s">
        <v>21</v>
      </c>
      <c r="H20" s="33"/>
      <c r="L20" s="39" t="s">
        <v>2</v>
      </c>
      <c r="M20" s="388"/>
      <c r="N20" s="378"/>
      <c r="O20" s="390"/>
      <c r="P20" s="390"/>
    </row>
    <row r="21" spans="1:16" ht="15.75">
      <c r="A21" s="25" t="s">
        <v>202</v>
      </c>
      <c r="B21" s="25" t="s">
        <v>203</v>
      </c>
      <c r="C21" s="26"/>
      <c r="D21" s="27">
        <v>3000</v>
      </c>
      <c r="F21" s="38">
        <v>2790</v>
      </c>
      <c r="G21" s="29" t="s">
        <v>13</v>
      </c>
      <c r="H21" s="33"/>
      <c r="L21" s="4" t="s">
        <v>39</v>
      </c>
      <c r="M21" s="381" t="s">
        <v>40</v>
      </c>
      <c r="N21" s="391" t="s">
        <v>41</v>
      </c>
      <c r="O21" s="385" t="s">
        <v>42</v>
      </c>
      <c r="P21" s="385" t="s">
        <v>8</v>
      </c>
    </row>
    <row r="22" spans="1:16" ht="16.5" thickBot="1">
      <c r="A22" s="25" t="s">
        <v>204</v>
      </c>
      <c r="B22" s="25" t="s">
        <v>205</v>
      </c>
      <c r="C22" s="26" t="s">
        <v>206</v>
      </c>
      <c r="D22" s="27">
        <v>5000</v>
      </c>
      <c r="F22" s="38">
        <v>19312</v>
      </c>
      <c r="G22" s="29" t="s">
        <v>100</v>
      </c>
      <c r="H22" s="33"/>
      <c r="L22" s="36" t="s">
        <v>2</v>
      </c>
      <c r="M22" s="382"/>
      <c r="N22" s="392"/>
      <c r="O22" s="386"/>
      <c r="P22" s="386"/>
    </row>
    <row r="23" spans="1:16" ht="15.75">
      <c r="A23" s="35" t="s">
        <v>207</v>
      </c>
      <c r="B23" s="35" t="s">
        <v>208</v>
      </c>
      <c r="C23" s="26"/>
      <c r="D23" s="27">
        <v>500</v>
      </c>
      <c r="F23" s="38">
        <v>500</v>
      </c>
      <c r="G23" s="29" t="s">
        <v>25</v>
      </c>
      <c r="H23" s="33"/>
      <c r="L23" s="6" t="s">
        <v>43</v>
      </c>
      <c r="M23" s="387" t="s">
        <v>44</v>
      </c>
      <c r="N23" s="377" t="s">
        <v>45</v>
      </c>
      <c r="O23" s="389" t="s">
        <v>46</v>
      </c>
      <c r="P23" s="389" t="s">
        <v>8</v>
      </c>
    </row>
    <row r="24" spans="1:16" ht="16.5" thickBot="1">
      <c r="A24" s="25" t="s">
        <v>209</v>
      </c>
      <c r="B24" s="25" t="s">
        <v>210</v>
      </c>
      <c r="C24" s="26" t="s">
        <v>211</v>
      </c>
      <c r="D24" s="27">
        <v>2000</v>
      </c>
      <c r="F24" s="38"/>
      <c r="G24" s="29" t="s">
        <v>35</v>
      </c>
      <c r="H24" s="33"/>
      <c r="L24" s="39" t="s">
        <v>2</v>
      </c>
      <c r="M24" s="388"/>
      <c r="N24" s="378"/>
      <c r="O24" s="390"/>
      <c r="P24" s="390"/>
    </row>
    <row r="25" spans="1:16" ht="15.75">
      <c r="A25" s="393" t="s">
        <v>212</v>
      </c>
      <c r="B25" s="394"/>
      <c r="C25" s="26"/>
      <c r="D25" s="41">
        <f>SUM(D3:D24)</f>
        <v>336126</v>
      </c>
      <c r="F25" s="38"/>
      <c r="L25" s="4" t="s">
        <v>47</v>
      </c>
      <c r="M25" s="381" t="s">
        <v>48</v>
      </c>
      <c r="N25" s="377" t="s">
        <v>19</v>
      </c>
      <c r="O25" s="385" t="s">
        <v>49</v>
      </c>
      <c r="P25" s="385" t="s">
        <v>8</v>
      </c>
    </row>
    <row r="26" spans="1:16" ht="16.5" thickBot="1">
      <c r="A26" s="42"/>
      <c r="B26" s="43"/>
      <c r="C26" s="42"/>
      <c r="D26" s="44"/>
      <c r="F26" s="45">
        <f>SUM(F3:F25)</f>
        <v>677000</v>
      </c>
      <c r="L26" s="36" t="s">
        <v>2</v>
      </c>
      <c r="M26" s="382"/>
      <c r="N26" s="378"/>
      <c r="O26" s="386"/>
      <c r="P26" s="386"/>
    </row>
    <row r="27" spans="1:16" ht="18.75">
      <c r="A27" s="373" t="s">
        <v>213</v>
      </c>
      <c r="B27" s="373"/>
      <c r="C27" s="373"/>
      <c r="D27" s="373"/>
      <c r="L27" s="6" t="s">
        <v>50</v>
      </c>
      <c r="M27" s="387" t="s">
        <v>51</v>
      </c>
      <c r="N27" s="377" t="s">
        <v>19</v>
      </c>
      <c r="O27" s="389" t="s">
        <v>52</v>
      </c>
      <c r="P27" s="389" t="s">
        <v>8</v>
      </c>
    </row>
    <row r="28" spans="1:16" ht="19.5" thickBot="1">
      <c r="A28" s="374"/>
      <c r="B28" s="374"/>
      <c r="C28" s="374"/>
      <c r="D28" s="374"/>
      <c r="L28" s="39" t="s">
        <v>2</v>
      </c>
      <c r="M28" s="388"/>
      <c r="N28" s="378"/>
      <c r="O28" s="390"/>
      <c r="P28" s="390"/>
    </row>
    <row r="29" spans="1:16" ht="15.75">
      <c r="A29" s="25" t="s">
        <v>214</v>
      </c>
      <c r="B29" s="25" t="s">
        <v>215</v>
      </c>
      <c r="C29" s="35" t="s">
        <v>216</v>
      </c>
      <c r="D29" s="47">
        <v>4000</v>
      </c>
      <c r="G29" s="48" t="s">
        <v>106</v>
      </c>
      <c r="H29" s="33"/>
      <c r="L29" s="4" t="s">
        <v>53</v>
      </c>
      <c r="M29" s="381" t="s">
        <v>54</v>
      </c>
      <c r="N29" s="377" t="s">
        <v>37</v>
      </c>
      <c r="O29" s="385" t="s">
        <v>55</v>
      </c>
      <c r="P29" s="385" t="s">
        <v>8</v>
      </c>
    </row>
    <row r="30" spans="1:16" ht="32.25" thickBot="1">
      <c r="A30" s="25" t="s">
        <v>217</v>
      </c>
      <c r="B30" s="20" t="s">
        <v>218</v>
      </c>
      <c r="C30" s="20" t="s">
        <v>218</v>
      </c>
      <c r="D30" s="49">
        <v>2000</v>
      </c>
      <c r="G30" s="48" t="s">
        <v>92</v>
      </c>
      <c r="H30" s="33"/>
      <c r="L30" s="36" t="s">
        <v>2</v>
      </c>
      <c r="M30" s="382"/>
      <c r="N30" s="378"/>
      <c r="O30" s="386"/>
      <c r="P30" s="386"/>
    </row>
    <row r="31" spans="1:16" ht="31.5">
      <c r="A31" s="25" t="s">
        <v>219</v>
      </c>
      <c r="B31" s="25" t="s">
        <v>220</v>
      </c>
      <c r="C31" s="25" t="s">
        <v>221</v>
      </c>
      <c r="D31" s="47">
        <v>1000</v>
      </c>
      <c r="G31" s="48" t="s">
        <v>17</v>
      </c>
      <c r="H31" s="33"/>
      <c r="L31" s="6" t="s">
        <v>56</v>
      </c>
      <c r="M31" s="387" t="s">
        <v>57</v>
      </c>
      <c r="N31" s="377" t="s">
        <v>58</v>
      </c>
      <c r="O31" s="389" t="s">
        <v>59</v>
      </c>
      <c r="P31" s="389" t="s">
        <v>8</v>
      </c>
    </row>
    <row r="32" spans="1:16" ht="79.5" thickBot="1">
      <c r="A32" s="25" t="s">
        <v>222</v>
      </c>
      <c r="B32" s="25" t="s">
        <v>223</v>
      </c>
      <c r="C32" s="25" t="s">
        <v>224</v>
      </c>
      <c r="D32" s="49">
        <v>68000</v>
      </c>
      <c r="G32" s="48" t="s">
        <v>117</v>
      </c>
      <c r="H32" s="33"/>
      <c r="L32" s="39" t="s">
        <v>2</v>
      </c>
      <c r="M32" s="388"/>
      <c r="N32" s="378"/>
      <c r="O32" s="390"/>
      <c r="P32" s="390"/>
    </row>
    <row r="33" spans="1:16" ht="90">
      <c r="A33" s="25" t="s">
        <v>225</v>
      </c>
      <c r="B33" s="25" t="s">
        <v>226</v>
      </c>
      <c r="C33" s="225" t="s">
        <v>227</v>
      </c>
      <c r="D33" s="47">
        <v>60000</v>
      </c>
      <c r="G33" s="48" t="s">
        <v>9</v>
      </c>
      <c r="H33" s="33"/>
      <c r="L33" s="4" t="s">
        <v>60</v>
      </c>
      <c r="M33" s="381" t="s">
        <v>61</v>
      </c>
      <c r="N33" s="395" t="s">
        <v>62</v>
      </c>
      <c r="O33" s="385" t="s">
        <v>63</v>
      </c>
      <c r="P33" s="385" t="s">
        <v>65</v>
      </c>
    </row>
    <row r="34" spans="1:16" ht="16.5" thickBot="1">
      <c r="A34" s="397" t="s">
        <v>212</v>
      </c>
      <c r="B34" s="398"/>
      <c r="C34" s="51"/>
      <c r="D34" s="52">
        <f>SUM(D29:D33)</f>
        <v>135000</v>
      </c>
      <c r="L34" s="36" t="s">
        <v>2</v>
      </c>
      <c r="M34" s="382"/>
      <c r="N34" s="396"/>
      <c r="O34" s="386"/>
      <c r="P34" s="386"/>
    </row>
    <row r="35" spans="12:16" ht="15.75">
      <c r="L35" s="6" t="s">
        <v>66</v>
      </c>
      <c r="M35" s="387" t="s">
        <v>67</v>
      </c>
      <c r="N35" s="377" t="s">
        <v>45</v>
      </c>
      <c r="O35" s="389" t="s">
        <v>68</v>
      </c>
      <c r="P35" s="389" t="s">
        <v>8</v>
      </c>
    </row>
    <row r="36" spans="1:16" ht="19.5" thickBot="1">
      <c r="A36" s="373" t="s">
        <v>228</v>
      </c>
      <c r="B36" s="373"/>
      <c r="C36" s="373"/>
      <c r="L36" s="39" t="s">
        <v>2</v>
      </c>
      <c r="M36" s="388"/>
      <c r="N36" s="378"/>
      <c r="O36" s="390"/>
      <c r="P36" s="390"/>
    </row>
    <row r="37" spans="1:16" ht="18.75">
      <c r="A37" s="374"/>
      <c r="B37" s="374"/>
      <c r="C37" s="374"/>
      <c r="L37" s="4" t="s">
        <v>69</v>
      </c>
      <c r="M37" s="381" t="s">
        <v>70</v>
      </c>
      <c r="N37" s="377" t="s">
        <v>71</v>
      </c>
      <c r="O37" s="385" t="s">
        <v>72</v>
      </c>
      <c r="P37" s="385" t="s">
        <v>8</v>
      </c>
    </row>
    <row r="38" spans="1:16" ht="32.25" thickBot="1">
      <c r="A38" s="21" t="s">
        <v>229</v>
      </c>
      <c r="B38" s="20" t="s">
        <v>230</v>
      </c>
      <c r="C38" s="49"/>
      <c r="D38" s="49">
        <v>2000</v>
      </c>
      <c r="G38" s="54" t="s">
        <v>83</v>
      </c>
      <c r="H38" s="33"/>
      <c r="L38" s="36" t="s">
        <v>2</v>
      </c>
      <c r="M38" s="382"/>
      <c r="N38" s="378"/>
      <c r="O38" s="386"/>
      <c r="P38" s="386"/>
    </row>
    <row r="39" spans="1:16" ht="31.5">
      <c r="A39" s="21" t="s">
        <v>153</v>
      </c>
      <c r="B39" s="20" t="s">
        <v>154</v>
      </c>
      <c r="C39" s="49"/>
      <c r="D39" s="49">
        <v>5592</v>
      </c>
      <c r="G39" s="54" t="s">
        <v>110</v>
      </c>
      <c r="H39" s="33"/>
      <c r="L39" s="6" t="s">
        <v>73</v>
      </c>
      <c r="M39" s="387" t="s">
        <v>74</v>
      </c>
      <c r="N39" s="377" t="s">
        <v>37</v>
      </c>
      <c r="O39" s="389" t="s">
        <v>75</v>
      </c>
      <c r="P39" s="389" t="s">
        <v>8</v>
      </c>
    </row>
    <row r="40" spans="1:16" ht="32.25" thickBot="1">
      <c r="A40" s="21" t="s">
        <v>231</v>
      </c>
      <c r="B40" s="20" t="s">
        <v>232</v>
      </c>
      <c r="C40" s="49"/>
      <c r="D40" s="49">
        <v>20000</v>
      </c>
      <c r="G40" s="54" t="s">
        <v>89</v>
      </c>
      <c r="H40" s="33"/>
      <c r="L40" s="39" t="s">
        <v>2</v>
      </c>
      <c r="M40" s="388"/>
      <c r="N40" s="378"/>
      <c r="O40" s="390"/>
      <c r="P40" s="390"/>
    </row>
    <row r="41" spans="1:16" ht="47.25">
      <c r="A41" s="21" t="s">
        <v>233</v>
      </c>
      <c r="B41" s="20" t="s">
        <v>234</v>
      </c>
      <c r="C41" s="49"/>
      <c r="D41" s="49">
        <v>11700</v>
      </c>
      <c r="G41" s="54" t="s">
        <v>39</v>
      </c>
      <c r="H41" s="33"/>
      <c r="L41" s="4" t="s">
        <v>76</v>
      </c>
      <c r="M41" s="381" t="s">
        <v>77</v>
      </c>
      <c r="N41" s="391" t="s">
        <v>78</v>
      </c>
      <c r="O41" s="385" t="s">
        <v>79</v>
      </c>
      <c r="P41" s="385" t="s">
        <v>8</v>
      </c>
    </row>
    <row r="42" spans="1:16" ht="32.25" thickBot="1">
      <c r="A42" s="21" t="s">
        <v>151</v>
      </c>
      <c r="B42" s="20" t="s">
        <v>152</v>
      </c>
      <c r="C42" s="49"/>
      <c r="D42" s="49">
        <v>6000</v>
      </c>
      <c r="G42" s="54" t="s">
        <v>76</v>
      </c>
      <c r="H42" s="33"/>
      <c r="L42" s="36" t="s">
        <v>2</v>
      </c>
      <c r="M42" s="382"/>
      <c r="N42" s="392"/>
      <c r="O42" s="386"/>
      <c r="P42" s="386"/>
    </row>
    <row r="43" spans="1:16" ht="15.75">
      <c r="A43" s="397" t="s">
        <v>212</v>
      </c>
      <c r="B43" s="398"/>
      <c r="C43" s="55"/>
      <c r="D43" s="52">
        <f>SUM(D38:D42)</f>
        <v>45292</v>
      </c>
      <c r="L43" s="6" t="s">
        <v>80</v>
      </c>
      <c r="M43" s="387" t="s">
        <v>81</v>
      </c>
      <c r="N43" s="377" t="s">
        <v>37</v>
      </c>
      <c r="O43" s="389" t="s">
        <v>82</v>
      </c>
      <c r="P43" s="389" t="s">
        <v>8</v>
      </c>
    </row>
    <row r="44" spans="12:16" ht="16.5" thickBot="1">
      <c r="L44" s="39" t="s">
        <v>2</v>
      </c>
      <c r="M44" s="388"/>
      <c r="N44" s="378"/>
      <c r="O44" s="390"/>
      <c r="P44" s="390"/>
    </row>
    <row r="45" spans="3:16" ht="15.75">
      <c r="C45">
        <f>D25+D34+D43</f>
        <v>516418</v>
      </c>
      <c r="L45" s="4" t="s">
        <v>83</v>
      </c>
      <c r="M45" s="381" t="s">
        <v>84</v>
      </c>
      <c r="N45" s="391" t="s">
        <v>37</v>
      </c>
      <c r="O45" s="385" t="s">
        <v>85</v>
      </c>
      <c r="P45" s="385" t="s">
        <v>8</v>
      </c>
    </row>
    <row r="46" spans="3:16" ht="16.5" thickBot="1">
      <c r="C46">
        <v>820000</v>
      </c>
      <c r="L46" s="36" t="s">
        <v>2</v>
      </c>
      <c r="M46" s="382"/>
      <c r="N46" s="392"/>
      <c r="O46" s="386"/>
      <c r="P46" s="386"/>
    </row>
    <row r="47" spans="3:16" ht="15.75">
      <c r="C47">
        <v>368347</v>
      </c>
      <c r="L47" s="6" t="s">
        <v>86</v>
      </c>
      <c r="M47" s="387" t="s">
        <v>87</v>
      </c>
      <c r="N47" s="377" t="s">
        <v>37</v>
      </c>
      <c r="O47" s="389" t="s">
        <v>88</v>
      </c>
      <c r="P47" s="389" t="s">
        <v>8</v>
      </c>
    </row>
    <row r="48" spans="3:16" ht="16.5" thickBot="1">
      <c r="C48">
        <v>10800</v>
      </c>
      <c r="L48" s="39" t="s">
        <v>2</v>
      </c>
      <c r="M48" s="388"/>
      <c r="N48" s="378"/>
      <c r="O48" s="390"/>
      <c r="P48" s="390"/>
    </row>
    <row r="49" spans="12:16" ht="15.75">
      <c r="L49" s="4" t="s">
        <v>89</v>
      </c>
      <c r="M49" s="381" t="s">
        <v>90</v>
      </c>
      <c r="N49" s="391" t="s">
        <v>45</v>
      </c>
      <c r="O49" s="385" t="s">
        <v>91</v>
      </c>
      <c r="P49" s="385" t="s">
        <v>8</v>
      </c>
    </row>
    <row r="50" spans="3:16" ht="16.5" thickBot="1">
      <c r="C50">
        <f>SUM(C45:C49)</f>
        <v>1715565</v>
      </c>
      <c r="L50" s="36" t="s">
        <v>2</v>
      </c>
      <c r="M50" s="382"/>
      <c r="N50" s="392"/>
      <c r="O50" s="386"/>
      <c r="P50" s="386"/>
    </row>
    <row r="51" spans="12:16" ht="15.75">
      <c r="L51" s="6" t="s">
        <v>92</v>
      </c>
      <c r="M51" s="387" t="s">
        <v>93</v>
      </c>
      <c r="N51" s="383" t="s">
        <v>37</v>
      </c>
      <c r="O51" s="389" t="s">
        <v>94</v>
      </c>
      <c r="P51" s="389" t="s">
        <v>8</v>
      </c>
    </row>
    <row r="52" spans="3:16" ht="16.5" thickBot="1">
      <c r="C52">
        <f>C53-C50</f>
        <v>0</v>
      </c>
      <c r="L52" s="39" t="s">
        <v>2</v>
      </c>
      <c r="M52" s="388"/>
      <c r="N52" s="384"/>
      <c r="O52" s="390"/>
      <c r="P52" s="390"/>
    </row>
    <row r="53" spans="3:16" ht="15.75">
      <c r="C53">
        <v>1715565</v>
      </c>
      <c r="L53" s="4" t="s">
        <v>95</v>
      </c>
      <c r="M53" s="381" t="s">
        <v>96</v>
      </c>
      <c r="N53" s="385" t="s">
        <v>97</v>
      </c>
      <c r="O53" s="385" t="s">
        <v>98</v>
      </c>
      <c r="P53" s="385" t="s">
        <v>8</v>
      </c>
    </row>
    <row r="54" spans="12:16" ht="16.5" thickBot="1">
      <c r="L54" s="36" t="s">
        <v>2</v>
      </c>
      <c r="M54" s="382"/>
      <c r="N54" s="386"/>
      <c r="O54" s="386"/>
      <c r="P54" s="386"/>
    </row>
    <row r="55" spans="12:16" ht="15.75">
      <c r="L55" s="6" t="s">
        <v>100</v>
      </c>
      <c r="M55" s="387" t="s">
        <v>101</v>
      </c>
      <c r="N55" s="377" t="s">
        <v>58</v>
      </c>
      <c r="O55" s="389" t="s">
        <v>102</v>
      </c>
      <c r="P55" s="389" t="s">
        <v>8</v>
      </c>
    </row>
    <row r="56" spans="12:16" ht="16.5" thickBot="1">
      <c r="L56" s="39" t="s">
        <v>2</v>
      </c>
      <c r="M56" s="388"/>
      <c r="N56" s="378"/>
      <c r="O56" s="390"/>
      <c r="P56" s="390"/>
    </row>
    <row r="57" spans="12:16" ht="15.75">
      <c r="L57" s="4" t="s">
        <v>103</v>
      </c>
      <c r="M57" s="381" t="s">
        <v>104</v>
      </c>
      <c r="N57" s="377" t="s">
        <v>15</v>
      </c>
      <c r="O57" s="385" t="s">
        <v>105</v>
      </c>
      <c r="P57" s="385" t="s">
        <v>8</v>
      </c>
    </row>
    <row r="58" spans="12:16" ht="16.5" thickBot="1">
      <c r="L58" s="36" t="s">
        <v>2</v>
      </c>
      <c r="M58" s="382"/>
      <c r="N58" s="378"/>
      <c r="O58" s="386"/>
      <c r="P58" s="386"/>
    </row>
    <row r="59" spans="12:16" ht="15.75">
      <c r="L59" s="6" t="s">
        <v>106</v>
      </c>
      <c r="M59" s="387" t="s">
        <v>107</v>
      </c>
      <c r="N59" s="383" t="s">
        <v>108</v>
      </c>
      <c r="O59" s="389" t="s">
        <v>109</v>
      </c>
      <c r="P59" s="389" t="s">
        <v>8</v>
      </c>
    </row>
    <row r="60" spans="1:16" ht="32.25" thickBot="1">
      <c r="A60" s="21" t="s">
        <v>235</v>
      </c>
      <c r="B60" s="20" t="s">
        <v>236</v>
      </c>
      <c r="C60" s="49"/>
      <c r="D60" s="49">
        <v>820000</v>
      </c>
      <c r="E60" s="21"/>
      <c r="F60" s="20"/>
      <c r="G60" s="49" t="s">
        <v>132</v>
      </c>
      <c r="H60" s="56"/>
      <c r="L60" s="39" t="s">
        <v>2</v>
      </c>
      <c r="M60" s="388"/>
      <c r="N60" s="384"/>
      <c r="O60" s="390"/>
      <c r="P60" s="390"/>
    </row>
    <row r="61" spans="1:16" ht="15.75">
      <c r="A61" s="21"/>
      <c r="B61" s="20"/>
      <c r="C61" s="49"/>
      <c r="D61" s="49"/>
      <c r="E61" s="21"/>
      <c r="F61" s="20"/>
      <c r="G61" s="49"/>
      <c r="L61" s="4" t="s">
        <v>110</v>
      </c>
      <c r="M61" s="381" t="s">
        <v>111</v>
      </c>
      <c r="N61" s="391" t="s">
        <v>112</v>
      </c>
      <c r="O61" s="385" t="s">
        <v>113</v>
      </c>
      <c r="P61" s="385" t="s">
        <v>8</v>
      </c>
    </row>
    <row r="62" spans="1:16" ht="32.25" thickBot="1">
      <c r="A62" s="21" t="s">
        <v>237</v>
      </c>
      <c r="B62" s="20" t="s">
        <v>238</v>
      </c>
      <c r="C62" s="49"/>
      <c r="D62" s="49">
        <v>368347</v>
      </c>
      <c r="E62" s="21"/>
      <c r="F62" s="20"/>
      <c r="G62" s="49" t="s">
        <v>60</v>
      </c>
      <c r="H62" s="56"/>
      <c r="L62" s="36" t="s">
        <v>2</v>
      </c>
      <c r="M62" s="382"/>
      <c r="N62" s="392"/>
      <c r="O62" s="386"/>
      <c r="P62" s="386"/>
    </row>
    <row r="63" spans="1:16" ht="15.75">
      <c r="A63" s="21"/>
      <c r="B63" s="20"/>
      <c r="C63" s="49"/>
      <c r="D63" s="49"/>
      <c r="E63" s="21"/>
      <c r="F63" s="20"/>
      <c r="G63" s="49"/>
      <c r="L63" s="6" t="s">
        <v>114</v>
      </c>
      <c r="M63" s="387" t="s">
        <v>115</v>
      </c>
      <c r="N63" s="377" t="s">
        <v>19</v>
      </c>
      <c r="O63" s="389" t="s">
        <v>116</v>
      </c>
      <c r="P63" s="389" t="s">
        <v>8</v>
      </c>
    </row>
    <row r="64" spans="1:16" ht="32.25" thickBot="1">
      <c r="A64" s="21" t="s">
        <v>239</v>
      </c>
      <c r="B64" s="20" t="s">
        <v>240</v>
      </c>
      <c r="C64" s="49"/>
      <c r="D64" s="49">
        <v>4214</v>
      </c>
      <c r="E64" s="21"/>
      <c r="F64" s="20"/>
      <c r="G64" s="49" t="s">
        <v>95</v>
      </c>
      <c r="H64" s="56"/>
      <c r="L64" s="39" t="s">
        <v>2</v>
      </c>
      <c r="M64" s="388"/>
      <c r="N64" s="378"/>
      <c r="O64" s="390"/>
      <c r="P64" s="390"/>
    </row>
    <row r="65" spans="1:16" ht="31.5">
      <c r="A65" s="21" t="s">
        <v>241</v>
      </c>
      <c r="B65" s="20" t="s">
        <v>242</v>
      </c>
      <c r="C65" s="49"/>
      <c r="D65" s="49">
        <v>6586</v>
      </c>
      <c r="E65" s="21"/>
      <c r="F65" s="20"/>
      <c r="G65" s="49" t="s">
        <v>117</v>
      </c>
      <c r="H65" s="56"/>
      <c r="L65" s="4" t="s">
        <v>117</v>
      </c>
      <c r="M65" s="381" t="s">
        <v>118</v>
      </c>
      <c r="N65" s="383" t="s">
        <v>119</v>
      </c>
      <c r="O65" s="385" t="s">
        <v>120</v>
      </c>
      <c r="P65" s="385" t="s">
        <v>8</v>
      </c>
    </row>
    <row r="66" spans="1:16" ht="16.5" thickBot="1">
      <c r="A66" s="21"/>
      <c r="B66" s="20"/>
      <c r="C66" s="49"/>
      <c r="D66" s="49"/>
      <c r="E66" s="21"/>
      <c r="F66" s="20"/>
      <c r="G66" s="49"/>
      <c r="L66" s="36" t="s">
        <v>2</v>
      </c>
      <c r="M66" s="382"/>
      <c r="N66" s="384"/>
      <c r="O66" s="386"/>
      <c r="P66" s="386"/>
    </row>
    <row r="67" spans="12:16" ht="15.75">
      <c r="L67" s="6" t="s">
        <v>121</v>
      </c>
      <c r="M67" s="387" t="s">
        <v>122</v>
      </c>
      <c r="N67" s="389" t="s">
        <v>123</v>
      </c>
      <c r="O67" s="389" t="s">
        <v>124</v>
      </c>
      <c r="P67" s="389" t="s">
        <v>8</v>
      </c>
    </row>
    <row r="68" spans="12:16" ht="16.5" thickBot="1">
      <c r="L68" s="39" t="s">
        <v>2</v>
      </c>
      <c r="M68" s="388"/>
      <c r="N68" s="390"/>
      <c r="O68" s="390"/>
      <c r="P68" s="390"/>
    </row>
    <row r="69" spans="13:16" ht="24">
      <c r="M69" s="57" t="s">
        <v>126</v>
      </c>
      <c r="N69" s="58" t="s">
        <v>127</v>
      </c>
      <c r="O69" s="11" t="s">
        <v>128</v>
      </c>
      <c r="P69" s="11" t="s">
        <v>8</v>
      </c>
    </row>
    <row r="70" spans="12:15" ht="16.5" thickBot="1">
      <c r="L70" s="59"/>
      <c r="M70" s="60"/>
      <c r="N70" s="12"/>
      <c r="O70" s="12"/>
    </row>
    <row r="71" spans="12:15" ht="15.75">
      <c r="L71" s="387" t="s">
        <v>130</v>
      </c>
      <c r="M71" s="377" t="s">
        <v>45</v>
      </c>
      <c r="N71" s="389" t="s">
        <v>131</v>
      </c>
      <c r="O71" s="389" t="s">
        <v>8</v>
      </c>
    </row>
    <row r="72" spans="12:15" ht="16.5" thickBot="1">
      <c r="L72" s="388"/>
      <c r="M72" s="378"/>
      <c r="N72" s="390"/>
      <c r="O72" s="390"/>
    </row>
    <row r="73" spans="12:16" ht="15.75">
      <c r="L73" s="4" t="s">
        <v>132</v>
      </c>
      <c r="M73" s="381" t="s">
        <v>133</v>
      </c>
      <c r="N73" s="385" t="s">
        <v>134</v>
      </c>
      <c r="O73" s="385" t="s">
        <v>135</v>
      </c>
      <c r="P73" s="385" t="s">
        <v>65</v>
      </c>
    </row>
    <row r="74" spans="12:16" ht="16.5" thickBot="1">
      <c r="L74" s="36" t="s">
        <v>2</v>
      </c>
      <c r="M74" s="382"/>
      <c r="N74" s="386"/>
      <c r="O74" s="386"/>
      <c r="P74" s="386"/>
    </row>
  </sheetData>
  <sheetProtection/>
  <mergeCells count="149">
    <mergeCell ref="P73:P74"/>
    <mergeCell ref="L71:L72"/>
    <mergeCell ref="M71:M72"/>
    <mergeCell ref="N71:N72"/>
    <mergeCell ref="O71:O72"/>
    <mergeCell ref="M73:M74"/>
    <mergeCell ref="N73:N74"/>
    <mergeCell ref="O73:O74"/>
    <mergeCell ref="M65:M66"/>
    <mergeCell ref="N65:N66"/>
    <mergeCell ref="O65:O66"/>
    <mergeCell ref="P65:P66"/>
    <mergeCell ref="M67:M68"/>
    <mergeCell ref="N67:N68"/>
    <mergeCell ref="O67:O68"/>
    <mergeCell ref="P67:P68"/>
    <mergeCell ref="M61:M62"/>
    <mergeCell ref="N61:N62"/>
    <mergeCell ref="O61:O62"/>
    <mergeCell ref="P61:P62"/>
    <mergeCell ref="M63:M64"/>
    <mergeCell ref="N63:N64"/>
    <mergeCell ref="O63:O64"/>
    <mergeCell ref="P63:P64"/>
    <mergeCell ref="M57:M58"/>
    <mergeCell ref="N57:N58"/>
    <mergeCell ref="O57:O58"/>
    <mergeCell ref="P57:P58"/>
    <mergeCell ref="M59:M60"/>
    <mergeCell ref="N59:N60"/>
    <mergeCell ref="O59:O60"/>
    <mergeCell ref="P59:P60"/>
    <mergeCell ref="M53:M54"/>
    <mergeCell ref="N53:N54"/>
    <mergeCell ref="O53:O54"/>
    <mergeCell ref="P53:P54"/>
    <mergeCell ref="M55:M56"/>
    <mergeCell ref="N55:N56"/>
    <mergeCell ref="O55:O56"/>
    <mergeCell ref="P55:P56"/>
    <mergeCell ref="M49:M50"/>
    <mergeCell ref="N49:N50"/>
    <mergeCell ref="O49:O50"/>
    <mergeCell ref="P49:P50"/>
    <mergeCell ref="M51:M52"/>
    <mergeCell ref="N51:N52"/>
    <mergeCell ref="O51:O52"/>
    <mergeCell ref="P51:P52"/>
    <mergeCell ref="M45:M46"/>
    <mergeCell ref="N45:N46"/>
    <mergeCell ref="O45:O46"/>
    <mergeCell ref="P45:P46"/>
    <mergeCell ref="M47:M48"/>
    <mergeCell ref="N47:N48"/>
    <mergeCell ref="O47:O48"/>
    <mergeCell ref="P47:P48"/>
    <mergeCell ref="M41:M42"/>
    <mergeCell ref="N41:N42"/>
    <mergeCell ref="O41:O42"/>
    <mergeCell ref="P41:P42"/>
    <mergeCell ref="A43:B43"/>
    <mergeCell ref="M43:M44"/>
    <mergeCell ref="N43:N44"/>
    <mergeCell ref="O43:O44"/>
    <mergeCell ref="P43:P44"/>
    <mergeCell ref="A37:C37"/>
    <mergeCell ref="M37:M38"/>
    <mergeCell ref="N37:N38"/>
    <mergeCell ref="O37:O38"/>
    <mergeCell ref="P37:P38"/>
    <mergeCell ref="M39:M40"/>
    <mergeCell ref="N39:N40"/>
    <mergeCell ref="O39:O40"/>
    <mergeCell ref="P39:P40"/>
    <mergeCell ref="M33:M34"/>
    <mergeCell ref="N33:N34"/>
    <mergeCell ref="O33:O34"/>
    <mergeCell ref="P33:P34"/>
    <mergeCell ref="A34:B34"/>
    <mergeCell ref="M35:M36"/>
    <mergeCell ref="N35:N36"/>
    <mergeCell ref="O35:O36"/>
    <mergeCell ref="P35:P36"/>
    <mergeCell ref="A36:C36"/>
    <mergeCell ref="A28:D28"/>
    <mergeCell ref="M29:M30"/>
    <mergeCell ref="N29:N30"/>
    <mergeCell ref="O29:O30"/>
    <mergeCell ref="P29:P30"/>
    <mergeCell ref="M31:M32"/>
    <mergeCell ref="N31:N32"/>
    <mergeCell ref="O31:O32"/>
    <mergeCell ref="P31:P32"/>
    <mergeCell ref="A25:B25"/>
    <mergeCell ref="M25:M26"/>
    <mergeCell ref="N25:N26"/>
    <mergeCell ref="O25:O26"/>
    <mergeCell ref="P25:P26"/>
    <mergeCell ref="A27:D27"/>
    <mergeCell ref="M27:M28"/>
    <mergeCell ref="N27:N28"/>
    <mergeCell ref="O27:O28"/>
    <mergeCell ref="P27:P28"/>
    <mergeCell ref="M21:M22"/>
    <mergeCell ref="N21:N22"/>
    <mergeCell ref="O21:O22"/>
    <mergeCell ref="P21:P22"/>
    <mergeCell ref="M23:M24"/>
    <mergeCell ref="N23:N24"/>
    <mergeCell ref="O23:O24"/>
    <mergeCell ref="P23:P24"/>
    <mergeCell ref="M17:M18"/>
    <mergeCell ref="N17:N18"/>
    <mergeCell ref="O17:O18"/>
    <mergeCell ref="P17:P18"/>
    <mergeCell ref="M19:M20"/>
    <mergeCell ref="N19:N20"/>
    <mergeCell ref="O19:O20"/>
    <mergeCell ref="P19:P20"/>
    <mergeCell ref="M13:M14"/>
    <mergeCell ref="N13:N14"/>
    <mergeCell ref="O13:O14"/>
    <mergeCell ref="P13:P14"/>
    <mergeCell ref="M15:M16"/>
    <mergeCell ref="N15:N16"/>
    <mergeCell ref="O15:O16"/>
    <mergeCell ref="P15:P16"/>
    <mergeCell ref="M9:M10"/>
    <mergeCell ref="N9:N10"/>
    <mergeCell ref="O9:O10"/>
    <mergeCell ref="P9:P10"/>
    <mergeCell ref="M11:M12"/>
    <mergeCell ref="N11:N12"/>
    <mergeCell ref="O11:O12"/>
    <mergeCell ref="P11:P12"/>
    <mergeCell ref="M5:M6"/>
    <mergeCell ref="N5:N6"/>
    <mergeCell ref="O5:O6"/>
    <mergeCell ref="P5:P6"/>
    <mergeCell ref="M7:M8"/>
    <mergeCell ref="N7:N8"/>
    <mergeCell ref="O7:O8"/>
    <mergeCell ref="P7:P8"/>
    <mergeCell ref="A1:D1"/>
    <mergeCell ref="A2:D2"/>
    <mergeCell ref="M3:M4"/>
    <mergeCell ref="N3:N4"/>
    <mergeCell ref="O3:O4"/>
    <mergeCell ref="P3:P4"/>
  </mergeCells>
  <dataValidations count="2">
    <dataValidation type="decimal" allowBlank="1" showInputMessage="1" showErrorMessage="1" errorTitle="Очікувана вартість" error="Очікувана вартість предмета закупівлі - тілько число" sqref="A38:A41 D38:D42">
      <formula1>0</formula1>
      <formula2>1E+32</formula2>
    </dataValidation>
    <dataValidation type="textLength" allowBlank="1" showInputMessage="1" showErrorMessage="1" promptTitle="обов'язкове" prompt="обов'язкове" sqref="A42">
      <formula1>1</formula1>
      <formula2>200000</formula2>
    </dataValidation>
  </dataValidations>
  <hyperlinks>
    <hyperlink ref="L4" r:id="rId1" display="https://prozorro.gov.ua/plan/UA-P-2018-01-16-004178-a"/>
    <hyperlink ref="M3" r:id="rId2" tooltip="Бензин (Бензин А-92)" display="https://bid.e-tender.biz/#/updatePlan/a3f4b944c7814686955bf695e5735a25"/>
    <hyperlink ref="L6" r:id="rId3" display="https://prozorro.gov.ua/plan/UA-P-2018-01-16-004177-a"/>
    <hyperlink ref="M5" r:id="rId4" tooltip="Фармацевтична продукція, Антисептичні та дезінфекційні засоби, Наркотичні середники (33600000-6 (33631600-8)) (Антисептичні та дезінфекційні засоби, Sodium chloride (натрію хлорид), Glucose (глюкоза), Epinephrine (адреналін), Ammonia (аміаку р-н), Metamiz" display="https://bid.e-tender.biz/#/updatePlan/9dcd4f38c783457cb304de08015506ef"/>
    <hyperlink ref="L8" r:id="rId5" display="https://prozorro.gov.ua/plan/UA-P-2018-01-16-004170-a"/>
    <hyperlink ref="M7" r:id="rId6" tooltip="Знаряддя, замки, ключі та петлі, кріпильні деталі, ланцюги, пружини (молотки, ключі, викрутки, сверла, шайби, набори інструментів)" display="https://bid.e-tender.biz/#/updatePlan/63992852bb5846c58c360eb231387371"/>
    <hyperlink ref="L10" r:id="rId7" display="https://prozorro.gov.ua/plan/UA-P-2018-01-16-004167-a"/>
    <hyperlink ref="M9" r:id="rId8" tooltip="Друкована продукція різна (Плівка одноканальна пишуча не чорнильна)" display="https://bid.e-tender.biz/#/updatePlan/55358200f82149f89cfd50ffdfa33354"/>
    <hyperlink ref="L12" r:id="rId9" display="https://prozorro.gov.ua/plan/UA-P-2018-01-16-004165-a"/>
    <hyperlink ref="M11" r:id="rId10" tooltip="Конструкційні матеріали та супутні вироби (Цемент, труби та арматура, цвяхи, фарби, розчинники будівельні, труби, коліна до труб)" display="https://bid.e-tender.biz/#/updatePlan/50c0a76591744bc392d20f50c9d04b37"/>
    <hyperlink ref="L14" r:id="rId11" display="https://prozorro.gov.ua/plan/UA-P-2018-01-16-004164-a"/>
    <hyperlink ref="M13" r:id="rId12" tooltip="Вапно" display="https://bid.e-tender.biz/#/updatePlan/4bbb3356bb1d401499df516133465812"/>
    <hyperlink ref="L16" r:id="rId13" display="https://prozorro.gov.ua/plan/UA-P-2018-01-16-004154-a"/>
    <hyperlink ref="M15" r:id="rId14" tooltip="Поліетиленові мішки та пакети для сміття" display="https://bid.e-tender.biz/#/updatePlan/04223862f7854eb587b052126599a5bb"/>
    <hyperlink ref="L18" r:id="rId15" display="https://prozorro.gov.ua/plan/UA-P-2018-01-16-004188-a"/>
    <hyperlink ref="M17" r:id="rId16" tooltip="Ізольовані дроти та кабелі" display="https://bid.e-tender.biz/#/updatePlan/eef92f92ae9644dbb491ddd14c6b5784"/>
    <hyperlink ref="L20" r:id="rId17" display="https://prozorro.gov.ua/plan/UA-P-2018-01-16-004185-a"/>
    <hyperlink ref="M19" r:id="rId18" tooltip="Вироби для ванної кімнати та кухні" display="https://bid.e-tender.biz/#/updatePlan/eabef8729c9d4ba89ca703dbc54b491f"/>
    <hyperlink ref="L22" r:id="rId19" display="https://prozorro.gov.ua/plan/UA-P-2018-01-16-004184-a"/>
    <hyperlink ref="M21" r:id="rId20" tooltip="Охоронні послуги (Послуги з моніторингу сигналів тривоги, що надходять з пристроїв охоронної сигналізації)" display="https://bid.e-tender.biz/#/updatePlan/c2baf42c1d1c4ba9a1d14cc0aca21503"/>
    <hyperlink ref="L24" r:id="rId21" display="https://prozorro.gov.ua/plan/UA-P-2018-01-16-004175-a"/>
    <hyperlink ref="M23" r:id="rId22" tooltip="Паперові чи картонні реєстраційні журнали, бухгалтерські книги, швидкозшивачі, бланки та інші паперові канцелярські вироби" display="https://bid.e-tender.biz/#/updatePlan/947694e38dd94b4b9b83f1739ced610f"/>
    <hyperlink ref="L26" r:id="rId23" display="https://prozorro.gov.ua/plan/UA-P-2018-01-16-004174-a"/>
    <hyperlink ref="M25" r:id="rId24" tooltip="Освітлювальне обладнання та електричні лампи" display="https://bid.e-tender.biz/#/updatePlan/8ffc72fc8eea416a9d65857d60738601"/>
    <hyperlink ref="L28" r:id="rId25" display="https://prozorro.gov.ua/plan/UA-P-2018-01-16-004172-a"/>
    <hyperlink ref="M27" r:id="rId26" tooltip="Електророзподільна та контрольна апаратура" display="https://bid.e-tender.biz/#/updatePlan/806e4bc896f049db9390938a464fa2cc"/>
    <hyperlink ref="L30" r:id="rId27" display="https://prozorro.gov.ua/plan/UA-P-2018-01-16-004171-a"/>
    <hyperlink ref="M29" r:id="rId28" tooltip="Туалетний папір, носові хустинки, рушники для рук і серветки" display="https://bid.e-tender.biz/#/updatePlan/773fd34576dc486cbd54d50be375b905"/>
    <hyperlink ref="L32" r:id="rId29" display="https://prozorro.gov.ua/plan/UA-P-2018-01-16-004169-a"/>
    <hyperlink ref="M31" r:id="rId30" tooltip="Комп’ютерне обладнання та приладдя" display="https://bid.e-tender.biz/#/updatePlan/62e7d3e6e8d444609501e4947e974256"/>
    <hyperlink ref="L34" r:id="rId31" display="https://prozorro.gov.ua/plan/UA-P-2018-01-16-004168-a"/>
    <hyperlink ref="M33" r:id="rId32" tooltip="Пара, гаряча вода та пов’язана продукція" display="https://bid.e-tender.biz/#/updatePlan/5da5f278304e462894724ba3dac97f43"/>
    <hyperlink ref="L36" r:id="rId33" display="https://prozorro.gov.ua/plan/UA-P-2018-01-16-004166-a"/>
    <hyperlink ref="M35" r:id="rId34" tooltip="Офісні техніка, устаткування та приладдя, крім комп’ютерів, принтерів та меблів (Папір ксероксний, офісне приладдя, дрібне канцелярське приладдя)" display="https://bid.e-tender.biz/#/updatePlan/5378c3fde3624332a7473ec34189026c"/>
    <hyperlink ref="L38" r:id="rId35" display="https://prozorro.gov.ua/plan/UA-P-2018-01-16-004160-a"/>
    <hyperlink ref="M37" r:id="rId36" tooltip="Текстильні вироби (Ковдри, подушки, лікарняна білизна)" display="https://bid.e-tender.biz/#/updatePlan/3ad69440644f493d997ec27a61748ee7"/>
    <hyperlink ref="L40" r:id="rId37" display="https://prozorro.gov.ua/plan/UA-P-2018-01-16-004157-a"/>
    <hyperlink ref="M39" r:id="rId38" tooltip="Мастильні засоби (Масло)" display="https://bid.e-tender.biz/#/updatePlan/1f4303c3439c40e5a8c4dfb4a41e2abe"/>
    <hyperlink ref="L42" r:id="rId39" display="https://prozorro.gov.ua/plan/UA-P-2018-01-16-004155-a"/>
    <hyperlink ref="M41" r:id="rId40" tooltip="Утилізація сміття та поводження зі сміттям (Вивіз сміття)" display="https://bid.e-tender.biz/#/updatePlan/1154ae3422fe4d3dac87d03b16c329af"/>
    <hyperlink ref="L44" r:id="rId41" display="https://prozorro.gov.ua/plan/UA-P-2018-01-16-004153-a"/>
    <hyperlink ref="M43" r:id="rId42" tooltip="Пластмасові вироби (Відра пластмасові, совки, пластмасові ємкості)" display="https://bid.e-tender.biz/#/updatePlan/00e3749ee5534138be746eac992657d0"/>
    <hyperlink ref="L46" r:id="rId43" display="https://prozorro.gov.ua/plan/UA-P-2018-01-16-004189-a"/>
    <hyperlink ref="M45" r:id="rId44" tooltip="Послуги з ремонту і технічного обслуговування автомобілів" display="https://bid.e-tender.biz/#/updatePlan/f932a227b5374105b35bd6bcd9ed15c8"/>
    <hyperlink ref="L48" r:id="rId45" display="https://prozorro.gov.ua/plan/UA-P-2018-01-16-004187-a"/>
    <hyperlink ref="M47" r:id="rId46" tooltip="Мітли, щітки та інше господарське приладдя" display="https://bid.e-tender.biz/#/updatePlan/eb2cb5cef6ac477fac26f296d983c2e3"/>
    <hyperlink ref="L50" r:id="rId47" display="https://prozorro.gov.ua/plan/UA-P-2018-01-16-004186-a"/>
    <hyperlink ref="M49" r:id="rId48" tooltip="Послуги телефонного зв’язку та передачі даних (послуги за телефон та інтернет)" display="https://bid.e-tender.biz/#/updatePlan/eaee170ac93b4090b5028b2636de94d1"/>
    <hyperlink ref="L52" r:id="rId49" display="https://prozorro.gov.ua/plan/UA-P-2018-01-16-004183-a"/>
    <hyperlink ref="M51" r:id="rId50" tooltip="Бланки (Рецептурні бланки ф. №3)" display="https://bid.e-tender.biz/#/updatePlan/c0c63698557c45d3b2f4c4c55075a85c"/>
    <hyperlink ref="L54" r:id="rId51" display="https://prozorro.gov.ua/plan/UA-P-2018-01-16-004182-a"/>
    <hyperlink ref="M53" r:id="rId52" tooltip="Очищення стічних вод" display="https://bid.e-tender.biz/#/updatePlan/b5e2e104c0824bdb917cdfe4a2e98ac1"/>
    <hyperlink ref="L56" r:id="rId53" display="https://prozorro.gov.ua/plan/UA-P-2018-01-16-004181-a"/>
    <hyperlink ref="M55" r:id="rId54" tooltip="Фарби, лаки, друкарська фарба та мастики (Фарби для вікон, підлоги та розчинники)" display="https://bid.e-tender.biz/#/updatePlan/b23758dcd0224e689352154d769babdd"/>
    <hyperlink ref="L58" r:id="rId55" display="https://prozorro.gov.ua/plan/UA-P-2018-01-16-004180-a"/>
    <hyperlink ref="M57" r:id="rId56" tooltip="Продукція для чищення та полірування" display="https://bid.e-tender.biz/#/updatePlan/afbf40c343f44cebbda302e8c4b0e83c"/>
    <hyperlink ref="L60" r:id="rId57" display="https://prozorro.gov.ua/plan/UA-P-2018-01-16-004179-a"/>
    <hyperlink ref="M59" r:id="rId58" tooltip="Спеціальний одяг та аксесуари (Одноразові рукавички)" display="https://bid.e-tender.biz/#/updatePlan/ac5fcea7c8fc4b5ca5b9240cae63e523"/>
    <hyperlink ref="L62" r:id="rId59" display="https://prozorro.gov.ua/plan/UA-P-2018-01-16-004176-a"/>
    <hyperlink ref="M61" r:id="rId60" tooltip="Технічне обслуговування і ремонт офісної техніки" display="https://bid.e-tender.biz/#/updatePlan/96215436cd7e44ccbd7ee9f2b7336906"/>
    <hyperlink ref="L64" r:id="rId61" display="https://prozorro.gov.ua/plan/UA-P-2018-01-16-004173-a"/>
    <hyperlink ref="M63" r:id="rId62" tooltip="Вогнегасники" display="https://bid.e-tender.biz/#/updatePlan/825bb66c70f047ee888d34344141a04f"/>
    <hyperlink ref="L66" r:id="rId63" display="https://prozorro.gov.ua/plan/UA-P-2018-01-16-004163-a"/>
    <hyperlink ref="M65" r:id="rId64" tooltip="Медичне обладнання (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 display="https://bid.e-tender.biz/#/updatePlan/4b1c8fb13c414d319dab03177a4821d0"/>
    <hyperlink ref="L68" r:id="rId65" display="https://prozorro.gov.ua/plan/UA-P-2018-01-16-004162-a"/>
    <hyperlink ref="M67" r:id="rId66" tooltip="Питна вода (Водопостачання)" display="https://bid.e-tender.biz/#/updatePlan/44a540e3ec5043b19fbe327ac4023310"/>
    <hyperlink ref="M69" r:id="rId67" tooltip="Меблі" display="https://bid.e-tender.biz/#/updatePlan/3876a929742a42c78df064e3ad3f2611"/>
    <hyperlink ref="L71" r:id="rId68" tooltip="Частини та приладдя до транспортних засобів і їх двигунів" display="https://bid.e-tender.biz/#/updatePlan/300312a93bf548619632d9527a6607c2"/>
    <hyperlink ref="L74" r:id="rId69" display="https://prozorro.gov.ua/plan/UA-P-2018-01-16-004156-a"/>
    <hyperlink ref="M73" r:id="rId70" tooltip="Електрична енергія" display="https://bid.e-tender.biz/#/updatePlan/1c71eedd2cf848caa1e1f4e19b36cce8"/>
  </hyperlinks>
  <printOptions/>
  <pageMargins left="0.7" right="0.7" top="0.75" bottom="0.75" header="0.3" footer="0.3"/>
  <pageSetup horizontalDpi="300" verticalDpi="300" orientation="portrait" paperSize="9" r:id="rId71"/>
</worksheet>
</file>

<file path=xl/worksheets/sheet10.xml><?xml version="1.0" encoding="utf-8"?>
<worksheet xmlns="http://schemas.openxmlformats.org/spreadsheetml/2006/main" xmlns:r="http://schemas.openxmlformats.org/officeDocument/2006/relationships">
  <dimension ref="A3:M19"/>
  <sheetViews>
    <sheetView zoomScalePageLayoutView="0" workbookViewId="0" topLeftCell="A1">
      <selection activeCell="L25" sqref="L25"/>
    </sheetView>
  </sheetViews>
  <sheetFormatPr defaultColWidth="9.140625" defaultRowHeight="15"/>
  <cols>
    <col min="2" max="2" width="12.140625" style="0" bestFit="1" customWidth="1"/>
    <col min="3" max="3" width="19.7109375" style="0" customWidth="1"/>
    <col min="4" max="4" width="29.7109375" style="0" customWidth="1"/>
    <col min="5" max="5" width="11.57421875" style="0" bestFit="1" customWidth="1"/>
    <col min="6" max="6" width="10.421875" style="0" bestFit="1" customWidth="1"/>
    <col min="7" max="7" width="14.8515625" style="0" customWidth="1"/>
    <col min="8" max="8" width="10.421875" style="0" bestFit="1" customWidth="1"/>
    <col min="9" max="9" width="16.421875" style="0" customWidth="1"/>
    <col min="10" max="10" width="10.421875" style="0" bestFit="1" customWidth="1"/>
    <col min="11" max="11" width="9.57421875" style="0" bestFit="1" customWidth="1"/>
  </cols>
  <sheetData>
    <row r="3" spans="1:11" ht="15.75">
      <c r="A3" s="93" t="s">
        <v>412</v>
      </c>
      <c r="B3" s="93"/>
      <c r="C3" s="93"/>
      <c r="D3" s="93" t="s">
        <v>374</v>
      </c>
      <c r="E3" s="93" t="s">
        <v>372</v>
      </c>
      <c r="F3" s="93" t="s">
        <v>420</v>
      </c>
      <c r="G3" s="93" t="s">
        <v>421</v>
      </c>
      <c r="H3" s="93" t="s">
        <v>422</v>
      </c>
      <c r="I3" s="93" t="s">
        <v>423</v>
      </c>
      <c r="J3" s="93" t="s">
        <v>424</v>
      </c>
      <c r="K3" s="128" t="s">
        <v>445</v>
      </c>
    </row>
    <row r="4" spans="1:11" ht="47.25">
      <c r="A4" s="93">
        <v>2271</v>
      </c>
      <c r="B4" s="21" t="s">
        <v>237</v>
      </c>
      <c r="C4" s="20" t="s">
        <v>238</v>
      </c>
      <c r="D4" s="129" t="s">
        <v>437</v>
      </c>
      <c r="E4" s="127"/>
      <c r="F4" s="127"/>
      <c r="G4" s="127"/>
      <c r="H4" s="127">
        <v>30750</v>
      </c>
      <c r="I4" s="127">
        <v>92251</v>
      </c>
      <c r="J4" s="127">
        <v>92251</v>
      </c>
      <c r="K4" s="128">
        <f>SUM(E4:J4)</f>
        <v>215252</v>
      </c>
    </row>
    <row r="5" spans="1:11" ht="30">
      <c r="A5" s="93">
        <v>2272</v>
      </c>
      <c r="B5" s="93"/>
      <c r="C5" s="93"/>
      <c r="D5" s="129" t="s">
        <v>446</v>
      </c>
      <c r="E5" s="127">
        <v>1694</v>
      </c>
      <c r="F5" s="127">
        <v>891</v>
      </c>
      <c r="G5" s="127">
        <v>891</v>
      </c>
      <c r="H5" s="127">
        <v>891</v>
      </c>
      <c r="I5" s="127">
        <v>892</v>
      </c>
      <c r="J5" s="127">
        <v>892</v>
      </c>
      <c r="K5" s="128">
        <f>SUM(E5:J5)</f>
        <v>6151</v>
      </c>
    </row>
    <row r="6" spans="1:11" ht="15.75">
      <c r="A6" s="93"/>
      <c r="B6" s="21" t="s">
        <v>241</v>
      </c>
      <c r="C6" s="20" t="s">
        <v>242</v>
      </c>
      <c r="D6" s="129"/>
      <c r="E6" s="211">
        <f aca="true" t="shared" si="0" ref="E6:J6">E5/$F$19*$D$18</f>
        <v>1057.2676359719978</v>
      </c>
      <c r="F6" s="211">
        <f t="shared" si="0"/>
        <v>556.0953150242326</v>
      </c>
      <c r="G6" s="211">
        <f t="shared" si="0"/>
        <v>556.0953150242326</v>
      </c>
      <c r="H6" s="211">
        <f t="shared" si="0"/>
        <v>556.0953150242326</v>
      </c>
      <c r="I6" s="211">
        <f t="shared" si="0"/>
        <v>556.7194399569197</v>
      </c>
      <c r="J6" s="211">
        <f t="shared" si="0"/>
        <v>556.7194399569197</v>
      </c>
      <c r="K6" s="212">
        <f>SUM(E6:J6)</f>
        <v>3838.9924609585355</v>
      </c>
    </row>
    <row r="7" spans="1:11" ht="31.5">
      <c r="A7" s="93"/>
      <c r="B7" s="21" t="s">
        <v>239</v>
      </c>
      <c r="C7" s="20" t="s">
        <v>240</v>
      </c>
      <c r="D7" s="129"/>
      <c r="E7" s="211">
        <f aca="true" t="shared" si="1" ref="E7:J7">E5/$F$19*$D$19</f>
        <v>636.7323640280022</v>
      </c>
      <c r="F7" s="211">
        <f t="shared" si="1"/>
        <v>334.90468497576734</v>
      </c>
      <c r="G7" s="211">
        <f t="shared" si="1"/>
        <v>334.90468497576734</v>
      </c>
      <c r="H7" s="211">
        <f t="shared" si="1"/>
        <v>334.90468497576734</v>
      </c>
      <c r="I7" s="211">
        <f t="shared" si="1"/>
        <v>335.28056004308024</v>
      </c>
      <c r="J7" s="211">
        <f t="shared" si="1"/>
        <v>335.28056004308024</v>
      </c>
      <c r="K7" s="212">
        <f>SUM(E7:J7)</f>
        <v>2312.007539041465</v>
      </c>
    </row>
    <row r="8" spans="1:13" ht="15.75">
      <c r="A8" s="93">
        <v>2273</v>
      </c>
      <c r="B8" s="21" t="s">
        <v>235</v>
      </c>
      <c r="C8" s="129" t="s">
        <v>595</v>
      </c>
      <c r="D8" s="129" t="s">
        <v>439</v>
      </c>
      <c r="E8" s="127">
        <v>9400</v>
      </c>
      <c r="F8" s="127">
        <v>4640</v>
      </c>
      <c r="G8" s="127">
        <v>4640</v>
      </c>
      <c r="H8" s="127">
        <v>31900</v>
      </c>
      <c r="I8" s="127">
        <f>95937+803</f>
        <v>96740</v>
      </c>
      <c r="J8" s="127">
        <v>101500</v>
      </c>
      <c r="K8" s="128">
        <f>SUM(E8:J8)</f>
        <v>248820</v>
      </c>
      <c r="M8" s="130">
        <v>248820</v>
      </c>
    </row>
    <row r="9" spans="1:13" ht="15.75">
      <c r="A9" s="471" t="s">
        <v>447</v>
      </c>
      <c r="B9" s="471"/>
      <c r="C9" s="471"/>
      <c r="D9" s="471"/>
      <c r="E9" s="128">
        <f>SUM(E4:E8)</f>
        <v>12788</v>
      </c>
      <c r="F9" s="128">
        <f aca="true" t="shared" si="2" ref="F9:K9">SUM(F4:F8)</f>
        <v>6422</v>
      </c>
      <c r="G9" s="128">
        <f t="shared" si="2"/>
        <v>6422</v>
      </c>
      <c r="H9" s="128">
        <f t="shared" si="2"/>
        <v>64432</v>
      </c>
      <c r="I9" s="128">
        <f t="shared" si="2"/>
        <v>190775</v>
      </c>
      <c r="J9" s="128">
        <f t="shared" si="2"/>
        <v>195535</v>
      </c>
      <c r="K9" s="128">
        <f t="shared" si="2"/>
        <v>476374</v>
      </c>
      <c r="M9">
        <f>M8-K8</f>
        <v>0</v>
      </c>
    </row>
    <row r="15" spans="2:4" ht="31.5">
      <c r="B15" s="21" t="s">
        <v>239</v>
      </c>
      <c r="C15" s="20" t="s">
        <v>240</v>
      </c>
      <c r="D15" s="210">
        <f>K5/D19</f>
        <v>734.3600764087871</v>
      </c>
    </row>
    <row r="16" spans="2:4" ht="15.75">
      <c r="B16" s="21" t="s">
        <v>241</v>
      </c>
      <c r="C16" s="20" t="s">
        <v>242</v>
      </c>
      <c r="D16" s="210">
        <f>K5/D18</f>
        <v>442.2634454989934</v>
      </c>
    </row>
    <row r="18" spans="3:6" ht="15.75">
      <c r="C18" s="209" t="s">
        <v>596</v>
      </c>
      <c r="D18" s="205">
        <v>13.908</v>
      </c>
      <c r="E18" s="206"/>
      <c r="F18" s="207"/>
    </row>
    <row r="19" spans="3:6" ht="15.75">
      <c r="C19" s="209" t="s">
        <v>597</v>
      </c>
      <c r="D19" s="205">
        <v>8.376</v>
      </c>
      <c r="E19" s="207"/>
      <c r="F19" s="208">
        <v>22.284</v>
      </c>
    </row>
  </sheetData>
  <sheetProtection/>
  <mergeCells count="1">
    <mergeCell ref="A9:D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G38"/>
  <sheetViews>
    <sheetView zoomScalePageLayoutView="0" workbookViewId="0" topLeftCell="A1">
      <selection activeCell="N11" sqref="N11"/>
    </sheetView>
  </sheetViews>
  <sheetFormatPr defaultColWidth="9.140625" defaultRowHeight="15"/>
  <cols>
    <col min="1" max="1" width="9.140625" style="85" customWidth="1"/>
    <col min="2" max="2" width="25.00390625" style="85" bestFit="1" customWidth="1"/>
    <col min="3" max="3" width="35.28125" style="85" customWidth="1"/>
    <col min="4" max="4" width="18.00390625" style="85" bestFit="1" customWidth="1"/>
    <col min="5" max="5" width="10.140625" style="85" bestFit="1" customWidth="1"/>
    <col min="6" max="6" width="10.28125" style="85" bestFit="1" customWidth="1"/>
    <col min="7" max="7" width="10.7109375" style="78" bestFit="1" customWidth="1"/>
    <col min="8" max="16384" width="9.140625" style="85" customWidth="1"/>
  </cols>
  <sheetData>
    <row r="2" spans="2:4" ht="15.75">
      <c r="B2" s="25" t="s">
        <v>222</v>
      </c>
      <c r="C2" s="25" t="s">
        <v>223</v>
      </c>
      <c r="D2" s="92" t="s">
        <v>407</v>
      </c>
    </row>
    <row r="4" spans="1:7" s="87" customFormat="1" ht="28.5">
      <c r="A4" s="93" t="s">
        <v>393</v>
      </c>
      <c r="B4" s="93" t="s">
        <v>395</v>
      </c>
      <c r="C4" s="93" t="s">
        <v>374</v>
      </c>
      <c r="D4" s="93" t="s">
        <v>389</v>
      </c>
      <c r="E4" s="93" t="s">
        <v>390</v>
      </c>
      <c r="F4" s="93" t="s">
        <v>391</v>
      </c>
      <c r="G4" s="93" t="s">
        <v>392</v>
      </c>
    </row>
    <row r="5" spans="1:7" ht="30">
      <c r="A5" s="94">
        <v>16</v>
      </c>
      <c r="B5" s="95" t="s">
        <v>394</v>
      </c>
      <c r="C5" s="96" t="s">
        <v>396</v>
      </c>
      <c r="D5" s="94">
        <v>20</v>
      </c>
      <c r="E5" s="97">
        <v>39.59</v>
      </c>
      <c r="F5" s="94">
        <v>10</v>
      </c>
      <c r="G5" s="98">
        <f>E5*F5</f>
        <v>395.90000000000003</v>
      </c>
    </row>
    <row r="6" spans="1:7" ht="60">
      <c r="A6" s="94">
        <v>33</v>
      </c>
      <c r="B6" s="95" t="s">
        <v>397</v>
      </c>
      <c r="C6" s="96" t="s">
        <v>398</v>
      </c>
      <c r="D6" s="94">
        <v>100</v>
      </c>
      <c r="E6" s="97">
        <v>645</v>
      </c>
      <c r="F6" s="94">
        <v>2</v>
      </c>
      <c r="G6" s="98">
        <f aca="true" t="shared" si="0" ref="G6:G38">E6*F6</f>
        <v>1290</v>
      </c>
    </row>
    <row r="7" spans="1:7" ht="45">
      <c r="A7" s="94">
        <v>41</v>
      </c>
      <c r="B7" s="472" t="s">
        <v>399</v>
      </c>
      <c r="C7" s="96" t="s">
        <v>400</v>
      </c>
      <c r="D7" s="94">
        <v>40</v>
      </c>
      <c r="E7" s="97">
        <v>2621.5</v>
      </c>
      <c r="F7" s="94">
        <v>5</v>
      </c>
      <c r="G7" s="98">
        <f t="shared" si="0"/>
        <v>13107.5</v>
      </c>
    </row>
    <row r="8" spans="1:7" ht="45">
      <c r="A8" s="94">
        <v>44</v>
      </c>
      <c r="B8" s="472"/>
      <c r="C8" s="96" t="s">
        <v>401</v>
      </c>
      <c r="D8" s="94">
        <v>40</v>
      </c>
      <c r="E8" s="97">
        <v>2621.5</v>
      </c>
      <c r="F8" s="94">
        <v>5</v>
      </c>
      <c r="G8" s="98">
        <f t="shared" si="0"/>
        <v>13107.5</v>
      </c>
    </row>
    <row r="9" spans="1:7" ht="45">
      <c r="A9" s="94">
        <v>46</v>
      </c>
      <c r="B9" s="472"/>
      <c r="C9" s="96" t="s">
        <v>402</v>
      </c>
      <c r="D9" s="94">
        <v>40</v>
      </c>
      <c r="E9" s="97">
        <v>2621.5</v>
      </c>
      <c r="F9" s="94">
        <v>5</v>
      </c>
      <c r="G9" s="98">
        <f t="shared" si="0"/>
        <v>13107.5</v>
      </c>
    </row>
    <row r="10" spans="1:7" ht="45">
      <c r="A10" s="94">
        <v>80</v>
      </c>
      <c r="B10" s="95" t="s">
        <v>403</v>
      </c>
      <c r="C10" s="96" t="s">
        <v>404</v>
      </c>
      <c r="D10" s="94">
        <v>40</v>
      </c>
      <c r="E10" s="97">
        <v>4173</v>
      </c>
      <c r="F10" s="94">
        <v>5</v>
      </c>
      <c r="G10" s="98">
        <f t="shared" si="0"/>
        <v>20865</v>
      </c>
    </row>
    <row r="11" spans="1:7" ht="60">
      <c r="A11" s="94">
        <v>84</v>
      </c>
      <c r="B11" s="95" t="s">
        <v>405</v>
      </c>
      <c r="C11" s="96" t="s">
        <v>406</v>
      </c>
      <c r="D11" s="94">
        <v>1</v>
      </c>
      <c r="E11" s="97">
        <v>86.67</v>
      </c>
      <c r="F11" s="94">
        <v>200</v>
      </c>
      <c r="G11" s="98">
        <f>E11*F11</f>
        <v>17334</v>
      </c>
    </row>
    <row r="12" spans="1:7" ht="30">
      <c r="A12" s="94"/>
      <c r="B12" s="95" t="s">
        <v>408</v>
      </c>
      <c r="C12" s="96" t="s">
        <v>409</v>
      </c>
      <c r="D12" s="94">
        <v>50</v>
      </c>
      <c r="E12" s="97">
        <v>290</v>
      </c>
      <c r="F12" s="94">
        <v>35</v>
      </c>
      <c r="G12" s="98">
        <f t="shared" si="0"/>
        <v>10150</v>
      </c>
    </row>
    <row r="13" spans="1:7" ht="45">
      <c r="A13" s="94"/>
      <c r="B13" s="95"/>
      <c r="C13" s="96" t="s">
        <v>410</v>
      </c>
      <c r="D13" s="94"/>
      <c r="E13" s="97"/>
      <c r="F13" s="94"/>
      <c r="G13" s="98">
        <v>35642.6</v>
      </c>
    </row>
    <row r="14" spans="1:7" ht="18.75">
      <c r="A14" s="94"/>
      <c r="B14" s="95"/>
      <c r="C14" s="99" t="s">
        <v>212</v>
      </c>
      <c r="D14" s="94"/>
      <c r="E14" s="94"/>
      <c r="F14" s="94">
        <f>SUM(F5:F12)</f>
        <v>267</v>
      </c>
      <c r="G14" s="98">
        <f>SUM(G5:G13)</f>
        <v>125000</v>
      </c>
    </row>
    <row r="15" spans="1:7" ht="15">
      <c r="A15" s="90"/>
      <c r="B15" s="86"/>
      <c r="C15" s="89"/>
      <c r="D15" s="90"/>
      <c r="E15" s="90"/>
      <c r="F15" s="90"/>
      <c r="G15" s="91">
        <f t="shared" si="0"/>
        <v>0</v>
      </c>
    </row>
    <row r="16" spans="1:7" ht="15">
      <c r="A16" s="90"/>
      <c r="B16" s="86"/>
      <c r="C16" s="89"/>
      <c r="D16" s="90"/>
      <c r="E16" s="90"/>
      <c r="F16" s="90"/>
      <c r="G16" s="91">
        <f t="shared" si="0"/>
        <v>0</v>
      </c>
    </row>
    <row r="17" spans="1:7" ht="15">
      <c r="A17" s="90"/>
      <c r="B17" s="86"/>
      <c r="C17" s="89"/>
      <c r="D17" s="90"/>
      <c r="E17" s="90"/>
      <c r="F17" s="90"/>
      <c r="G17" s="91">
        <f t="shared" si="0"/>
        <v>0</v>
      </c>
    </row>
    <row r="18" spans="1:7" ht="15">
      <c r="A18" s="90"/>
      <c r="B18" s="86"/>
      <c r="C18" s="89"/>
      <c r="D18" s="90"/>
      <c r="E18" s="90"/>
      <c r="F18" s="90"/>
      <c r="G18" s="91">
        <f t="shared" si="0"/>
        <v>0</v>
      </c>
    </row>
    <row r="19" spans="1:7" ht="15">
      <c r="A19" s="90"/>
      <c r="B19" s="86"/>
      <c r="C19" s="89"/>
      <c r="D19" s="90"/>
      <c r="E19" s="90"/>
      <c r="F19" s="90"/>
      <c r="G19" s="91">
        <f t="shared" si="0"/>
        <v>0</v>
      </c>
    </row>
    <row r="20" spans="1:7" ht="15">
      <c r="A20" s="90"/>
      <c r="B20" s="86"/>
      <c r="C20" s="89"/>
      <c r="D20" s="90"/>
      <c r="E20" s="90"/>
      <c r="F20" s="90"/>
      <c r="G20" s="91">
        <f t="shared" si="0"/>
        <v>0</v>
      </c>
    </row>
    <row r="21" spans="1:7" ht="15">
      <c r="A21" s="90"/>
      <c r="B21" s="86"/>
      <c r="C21" s="89"/>
      <c r="D21" s="90"/>
      <c r="E21" s="90"/>
      <c r="F21" s="90"/>
      <c r="G21" s="91">
        <f t="shared" si="0"/>
        <v>0</v>
      </c>
    </row>
    <row r="22" spans="1:7" ht="15">
      <c r="A22" s="90"/>
      <c r="B22" s="86"/>
      <c r="C22" s="89"/>
      <c r="D22" s="90"/>
      <c r="E22" s="90"/>
      <c r="F22" s="90"/>
      <c r="G22" s="91">
        <f t="shared" si="0"/>
        <v>0</v>
      </c>
    </row>
    <row r="23" spans="1:7" ht="15">
      <c r="A23" s="90"/>
      <c r="B23" s="86"/>
      <c r="C23" s="89"/>
      <c r="D23" s="90"/>
      <c r="E23" s="90"/>
      <c r="F23" s="90"/>
      <c r="G23" s="91">
        <f t="shared" si="0"/>
        <v>0</v>
      </c>
    </row>
    <row r="24" spans="1:7" ht="15">
      <c r="A24" s="90"/>
      <c r="B24" s="86"/>
      <c r="C24" s="89"/>
      <c r="D24" s="90"/>
      <c r="E24" s="90"/>
      <c r="F24" s="90"/>
      <c r="G24" s="91">
        <f t="shared" si="0"/>
        <v>0</v>
      </c>
    </row>
    <row r="25" spans="1:7" ht="15">
      <c r="A25" s="90"/>
      <c r="B25" s="86"/>
      <c r="C25" s="89"/>
      <c r="D25" s="90"/>
      <c r="E25" s="90"/>
      <c r="F25" s="90"/>
      <c r="G25" s="91">
        <f t="shared" si="0"/>
        <v>0</v>
      </c>
    </row>
    <row r="26" spans="1:7" ht="15">
      <c r="A26" s="90"/>
      <c r="B26" s="86"/>
      <c r="C26" s="89"/>
      <c r="D26" s="90"/>
      <c r="E26" s="90"/>
      <c r="F26" s="90"/>
      <c r="G26" s="91">
        <f t="shared" si="0"/>
        <v>0</v>
      </c>
    </row>
    <row r="27" spans="1:7" ht="15">
      <c r="A27" s="90"/>
      <c r="B27" s="86"/>
      <c r="C27" s="89"/>
      <c r="D27" s="90"/>
      <c r="E27" s="90"/>
      <c r="F27" s="90"/>
      <c r="G27" s="91">
        <f t="shared" si="0"/>
        <v>0</v>
      </c>
    </row>
    <row r="28" spans="1:7" ht="15">
      <c r="A28" s="90"/>
      <c r="B28" s="86"/>
      <c r="C28" s="89"/>
      <c r="D28" s="90"/>
      <c r="E28" s="90"/>
      <c r="F28" s="90"/>
      <c r="G28" s="91">
        <f t="shared" si="0"/>
        <v>0</v>
      </c>
    </row>
    <row r="29" spans="1:7" ht="15">
      <c r="A29" s="90"/>
      <c r="B29" s="86"/>
      <c r="C29" s="89"/>
      <c r="D29" s="90"/>
      <c r="E29" s="90"/>
      <c r="F29" s="90"/>
      <c r="G29" s="91">
        <f t="shared" si="0"/>
        <v>0</v>
      </c>
    </row>
    <row r="30" spans="1:7" ht="15">
      <c r="A30" s="90"/>
      <c r="B30" s="86"/>
      <c r="C30" s="89"/>
      <c r="D30" s="90"/>
      <c r="E30" s="90"/>
      <c r="F30" s="90"/>
      <c r="G30" s="91">
        <f t="shared" si="0"/>
        <v>0</v>
      </c>
    </row>
    <row r="31" spans="1:7" ht="15">
      <c r="A31" s="90"/>
      <c r="B31" s="86"/>
      <c r="C31" s="89"/>
      <c r="D31" s="90"/>
      <c r="E31" s="90"/>
      <c r="F31" s="90"/>
      <c r="G31" s="91">
        <f t="shared" si="0"/>
        <v>0</v>
      </c>
    </row>
    <row r="32" spans="1:7" ht="15">
      <c r="A32" s="90"/>
      <c r="B32" s="86"/>
      <c r="C32" s="89"/>
      <c r="D32" s="90"/>
      <c r="E32" s="90"/>
      <c r="F32" s="90"/>
      <c r="G32" s="91">
        <f t="shared" si="0"/>
        <v>0</v>
      </c>
    </row>
    <row r="33" spans="1:7" ht="15">
      <c r="A33" s="90"/>
      <c r="B33" s="86"/>
      <c r="C33" s="89"/>
      <c r="D33" s="90"/>
      <c r="E33" s="90"/>
      <c r="F33" s="90"/>
      <c r="G33" s="91">
        <f t="shared" si="0"/>
        <v>0</v>
      </c>
    </row>
    <row r="34" spans="1:7" ht="15">
      <c r="A34" s="90"/>
      <c r="B34" s="86"/>
      <c r="C34" s="89"/>
      <c r="D34" s="90"/>
      <c r="E34" s="90"/>
      <c r="F34" s="90"/>
      <c r="G34" s="91">
        <f t="shared" si="0"/>
        <v>0</v>
      </c>
    </row>
    <row r="35" spans="1:7" ht="15">
      <c r="A35" s="88"/>
      <c r="B35" s="86"/>
      <c r="C35" s="89"/>
      <c r="D35" s="90"/>
      <c r="E35" s="90"/>
      <c r="F35" s="90"/>
      <c r="G35" s="91">
        <f t="shared" si="0"/>
        <v>0</v>
      </c>
    </row>
    <row r="36" spans="3:7" ht="15">
      <c r="C36" s="89"/>
      <c r="D36" s="90"/>
      <c r="E36" s="90"/>
      <c r="F36" s="90"/>
      <c r="G36" s="91">
        <f t="shared" si="0"/>
        <v>0</v>
      </c>
    </row>
    <row r="37" spans="4:7" ht="15">
      <c r="D37" s="90"/>
      <c r="E37" s="90"/>
      <c r="F37" s="90"/>
      <c r="G37" s="91">
        <f t="shared" si="0"/>
        <v>0</v>
      </c>
    </row>
    <row r="38" spans="4:7" ht="15">
      <c r="D38" s="90"/>
      <c r="E38" s="90"/>
      <c r="F38" s="90"/>
      <c r="G38" s="91">
        <f t="shared" si="0"/>
        <v>0</v>
      </c>
    </row>
  </sheetData>
  <sheetProtection/>
  <mergeCells count="1">
    <mergeCell ref="B7:B9"/>
  </mergeCells>
  <printOptions/>
  <pageMargins left="0.7" right="0.7" top="0.75" bottom="0.75" header="0.3" footer="0.3"/>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2:K136"/>
  <sheetViews>
    <sheetView zoomScale="90" zoomScaleNormal="90" zoomScalePageLayoutView="0" workbookViewId="0" topLeftCell="A90">
      <selection activeCell="K125" sqref="K125"/>
    </sheetView>
  </sheetViews>
  <sheetFormatPr defaultColWidth="9.140625" defaultRowHeight="15"/>
  <cols>
    <col min="1" max="1" width="13.7109375" style="69" bestFit="1" customWidth="1"/>
    <col min="2" max="2" width="86.57421875" style="69" customWidth="1"/>
    <col min="3" max="3" width="34.00390625" style="69" customWidth="1"/>
    <col min="4" max="4" width="16.8515625" style="69" customWidth="1"/>
    <col min="5" max="5" width="13.140625" style="69" bestFit="1" customWidth="1"/>
    <col min="6" max="7" width="15.28125" style="69" customWidth="1"/>
    <col min="8" max="8" width="71.00390625" style="69" customWidth="1"/>
    <col min="9" max="9" width="33.00390625" style="69" customWidth="1"/>
    <col min="10" max="10" width="23.7109375" style="69" customWidth="1"/>
    <col min="11" max="11" width="28.57421875" style="69" customWidth="1"/>
    <col min="12" max="16384" width="9.140625" style="69" customWidth="1"/>
  </cols>
  <sheetData>
    <row r="2" spans="2:9" ht="18.75">
      <c r="B2" s="483" t="s">
        <v>601</v>
      </c>
      <c r="C2" s="483"/>
      <c r="D2" s="483"/>
      <c r="E2" s="240"/>
      <c r="F2" s="240"/>
      <c r="G2" s="240"/>
      <c r="H2" s="226"/>
      <c r="I2" s="226"/>
    </row>
    <row r="3" spans="2:4" ht="18.75">
      <c r="B3" s="484" t="s">
        <v>602</v>
      </c>
      <c r="C3" s="484"/>
      <c r="D3" s="484"/>
    </row>
    <row r="4" spans="2:7" ht="18.75">
      <c r="B4" s="484" t="s">
        <v>603</v>
      </c>
      <c r="C4" s="484"/>
      <c r="D4" s="484"/>
      <c r="E4" s="240"/>
      <c r="F4" s="240"/>
      <c r="G4" s="240"/>
    </row>
    <row r="6" spans="1:2" ht="15.75">
      <c r="A6" s="229" t="s">
        <v>604</v>
      </c>
      <c r="B6" s="239">
        <v>220</v>
      </c>
    </row>
    <row r="7" spans="1:5" ht="15.75">
      <c r="A7" s="229" t="s">
        <v>609</v>
      </c>
      <c r="B7" s="487" t="s">
        <v>532</v>
      </c>
      <c r="C7" s="487"/>
      <c r="D7" s="487"/>
      <c r="E7" s="487"/>
    </row>
    <row r="8" spans="2:5" ht="33.75" customHeight="1">
      <c r="B8" s="487" t="s">
        <v>605</v>
      </c>
      <c r="C8" s="487"/>
      <c r="D8" s="233"/>
      <c r="E8" s="230">
        <v>140905.41</v>
      </c>
    </row>
    <row r="9" spans="2:5" ht="33" customHeight="1">
      <c r="B9" s="487" t="s">
        <v>606</v>
      </c>
      <c r="C9" s="487"/>
      <c r="D9" s="233"/>
      <c r="E9" s="230">
        <v>82594.59</v>
      </c>
    </row>
    <row r="10" spans="2:5" s="219" customFormat="1" ht="15.75">
      <c r="B10" s="488" t="s">
        <v>212</v>
      </c>
      <c r="C10" s="489"/>
      <c r="D10" s="234"/>
      <c r="E10" s="232">
        <f>E8+E9</f>
        <v>223500</v>
      </c>
    </row>
    <row r="11" s="219" customFormat="1" ht="15.75">
      <c r="E11" s="227"/>
    </row>
    <row r="12" s="219" customFormat="1" ht="15.75">
      <c r="E12" s="227"/>
    </row>
    <row r="13" spans="1:4" s="219" customFormat="1" ht="15.75">
      <c r="A13" s="229" t="s">
        <v>604</v>
      </c>
      <c r="B13" s="239">
        <v>141</v>
      </c>
      <c r="D13" s="229"/>
    </row>
    <row r="14" spans="1:5" ht="15.75">
      <c r="A14" s="229" t="s">
        <v>609</v>
      </c>
      <c r="B14" s="480" t="s">
        <v>610</v>
      </c>
      <c r="C14" s="480"/>
      <c r="D14" s="480"/>
      <c r="E14" s="480"/>
    </row>
    <row r="15" ht="19.5" customHeight="1">
      <c r="D15" s="43" t="s">
        <v>608</v>
      </c>
    </row>
    <row r="16" spans="2:5" ht="16.5" customHeight="1">
      <c r="B16" s="481" t="s">
        <v>330</v>
      </c>
      <c r="C16" s="482"/>
      <c r="D16" s="228" t="s">
        <v>214</v>
      </c>
      <c r="E16" s="230">
        <v>5000</v>
      </c>
    </row>
    <row r="17" spans="2:5" ht="15.75">
      <c r="B17" s="481" t="s">
        <v>218</v>
      </c>
      <c r="C17" s="482"/>
      <c r="D17" s="228" t="s">
        <v>217</v>
      </c>
      <c r="E17" s="230">
        <v>1000</v>
      </c>
    </row>
    <row r="18" spans="2:5" ht="15" customHeight="1">
      <c r="B18" s="481" t="s">
        <v>331</v>
      </c>
      <c r="C18" s="482"/>
      <c r="D18" s="228" t="s">
        <v>219</v>
      </c>
      <c r="E18" s="230">
        <v>2000</v>
      </c>
    </row>
    <row r="19" spans="2:5" ht="16.5" customHeight="1">
      <c r="B19" s="481" t="s">
        <v>332</v>
      </c>
      <c r="C19" s="482"/>
      <c r="D19" s="228" t="s">
        <v>333</v>
      </c>
      <c r="E19" s="230">
        <v>2000</v>
      </c>
    </row>
    <row r="20" spans="2:5" ht="17.25" customHeight="1">
      <c r="B20" s="481" t="s">
        <v>388</v>
      </c>
      <c r="C20" s="482"/>
      <c r="D20" s="228" t="s">
        <v>334</v>
      </c>
      <c r="E20" s="230">
        <v>25000</v>
      </c>
    </row>
    <row r="21" spans="2:5" ht="33" customHeight="1">
      <c r="B21" s="481" t="s">
        <v>335</v>
      </c>
      <c r="C21" s="482"/>
      <c r="D21" s="228" t="s">
        <v>222</v>
      </c>
      <c r="E21" s="230">
        <v>125000</v>
      </c>
    </row>
    <row r="22" spans="2:5" ht="192.75" customHeight="1">
      <c r="B22" s="481" t="s">
        <v>607</v>
      </c>
      <c r="C22" s="482"/>
      <c r="D22" s="228" t="s">
        <v>266</v>
      </c>
      <c r="E22" s="230">
        <v>100000</v>
      </c>
    </row>
    <row r="23" spans="2:5" ht="15.75">
      <c r="B23" s="481" t="s">
        <v>336</v>
      </c>
      <c r="C23" s="482"/>
      <c r="D23" s="228" t="s">
        <v>337</v>
      </c>
      <c r="E23" s="230">
        <v>5000</v>
      </c>
    </row>
    <row r="24" spans="2:5" ht="15.75">
      <c r="B24" s="393" t="s">
        <v>212</v>
      </c>
      <c r="C24" s="394"/>
      <c r="D24" s="51"/>
      <c r="E24" s="232">
        <f>SUM(E16:E23)</f>
        <v>265000</v>
      </c>
    </row>
    <row r="28" spans="1:2" ht="15.75">
      <c r="A28" s="229" t="s">
        <v>604</v>
      </c>
      <c r="B28" s="239" t="s">
        <v>612</v>
      </c>
    </row>
    <row r="29" spans="1:5" ht="15.75" customHeight="1">
      <c r="A29" s="229" t="s">
        <v>609</v>
      </c>
      <c r="B29" s="480" t="s">
        <v>519</v>
      </c>
      <c r="C29" s="480"/>
      <c r="D29" s="480"/>
      <c r="E29" s="480"/>
    </row>
    <row r="30" spans="1:5" ht="15.75" customHeight="1">
      <c r="A30" s="229"/>
      <c r="B30" s="261"/>
      <c r="C30" s="261"/>
      <c r="D30" s="43" t="s">
        <v>608</v>
      </c>
      <c r="E30" s="261"/>
    </row>
    <row r="31" spans="2:5" ht="15.75">
      <c r="B31" s="481" t="s">
        <v>274</v>
      </c>
      <c r="C31" s="482"/>
      <c r="D31" s="228" t="s">
        <v>167</v>
      </c>
      <c r="E31" s="230">
        <v>3000</v>
      </c>
    </row>
    <row r="32" spans="2:5" ht="15.75">
      <c r="B32" s="481" t="s">
        <v>171</v>
      </c>
      <c r="C32" s="482"/>
      <c r="D32" s="228" t="s">
        <v>170</v>
      </c>
      <c r="E32" s="230">
        <v>500</v>
      </c>
    </row>
    <row r="33" spans="2:5" ht="15.75">
      <c r="B33" s="481" t="s">
        <v>174</v>
      </c>
      <c r="C33" s="482"/>
      <c r="D33" s="228" t="s">
        <v>173</v>
      </c>
      <c r="E33" s="230">
        <v>20000</v>
      </c>
    </row>
    <row r="34" spans="2:5" ht="15.75">
      <c r="B34" s="481" t="s">
        <v>324</v>
      </c>
      <c r="C34" s="482"/>
      <c r="D34" s="228" t="s">
        <v>175</v>
      </c>
      <c r="E34" s="230">
        <v>20000</v>
      </c>
    </row>
    <row r="35" spans="2:5" ht="15.75">
      <c r="B35" s="481" t="s">
        <v>179</v>
      </c>
      <c r="C35" s="482"/>
      <c r="D35" s="228" t="s">
        <v>178</v>
      </c>
      <c r="E35" s="230">
        <v>15000</v>
      </c>
    </row>
    <row r="36" spans="2:5" ht="15.75">
      <c r="B36" s="481" t="s">
        <v>181</v>
      </c>
      <c r="C36" s="482"/>
      <c r="D36" s="228" t="s">
        <v>180</v>
      </c>
      <c r="E36" s="230">
        <v>4000</v>
      </c>
    </row>
    <row r="37" spans="2:5" ht="15.75">
      <c r="B37" s="481" t="s">
        <v>183</v>
      </c>
      <c r="C37" s="482"/>
      <c r="D37" s="228" t="s">
        <v>182</v>
      </c>
      <c r="E37" s="230">
        <v>1000</v>
      </c>
    </row>
    <row r="38" spans="2:5" ht="15.75">
      <c r="B38" s="481" t="s">
        <v>185</v>
      </c>
      <c r="C38" s="482"/>
      <c r="D38" s="228" t="s">
        <v>184</v>
      </c>
      <c r="E38" s="230">
        <v>2000</v>
      </c>
    </row>
    <row r="39" spans="2:5" ht="15.75">
      <c r="B39" s="481" t="s">
        <v>187</v>
      </c>
      <c r="C39" s="482"/>
      <c r="D39" s="228" t="s">
        <v>186</v>
      </c>
      <c r="E39" s="230">
        <v>2000</v>
      </c>
    </row>
    <row r="40" spans="2:5" ht="15.75">
      <c r="B40" s="481" t="s">
        <v>189</v>
      </c>
      <c r="C40" s="482"/>
      <c r="D40" s="228" t="s">
        <v>188</v>
      </c>
      <c r="E40" s="230">
        <v>20000</v>
      </c>
    </row>
    <row r="41" spans="2:5" ht="15.75">
      <c r="B41" s="481" t="s">
        <v>191</v>
      </c>
      <c r="C41" s="482"/>
      <c r="D41" s="228" t="s">
        <v>190</v>
      </c>
      <c r="E41" s="230">
        <v>5000</v>
      </c>
    </row>
    <row r="42" spans="2:5" ht="15.75">
      <c r="B42" s="481" t="s">
        <v>159</v>
      </c>
      <c r="C42" s="482"/>
      <c r="D42" s="228" t="s">
        <v>158</v>
      </c>
      <c r="E42" s="230">
        <v>20000</v>
      </c>
    </row>
    <row r="43" spans="2:5" ht="15.75">
      <c r="B43" s="481" t="s">
        <v>193</v>
      </c>
      <c r="C43" s="482"/>
      <c r="D43" s="228" t="s">
        <v>192</v>
      </c>
      <c r="E43" s="230">
        <v>2000</v>
      </c>
    </row>
    <row r="44" spans="2:5" ht="15.75">
      <c r="B44" s="481" t="s">
        <v>245</v>
      </c>
      <c r="C44" s="482"/>
      <c r="D44" s="228" t="s">
        <v>194</v>
      </c>
      <c r="E44" s="230">
        <v>5000</v>
      </c>
    </row>
    <row r="45" spans="2:5" ht="15.75">
      <c r="B45" s="481" t="s">
        <v>198</v>
      </c>
      <c r="C45" s="482"/>
      <c r="D45" s="228" t="s">
        <v>197</v>
      </c>
      <c r="E45" s="230">
        <v>3000</v>
      </c>
    </row>
    <row r="46" spans="2:5" ht="15.75">
      <c r="B46" s="481" t="s">
        <v>246</v>
      </c>
      <c r="C46" s="482"/>
      <c r="D46" s="228" t="s">
        <v>199</v>
      </c>
      <c r="E46" s="230">
        <v>10000</v>
      </c>
    </row>
    <row r="47" spans="2:5" ht="15.75">
      <c r="B47" s="481" t="s">
        <v>210</v>
      </c>
      <c r="C47" s="482"/>
      <c r="D47" s="228" t="s">
        <v>209</v>
      </c>
      <c r="E47" s="230">
        <v>2000</v>
      </c>
    </row>
    <row r="48" spans="2:5" ht="15.75">
      <c r="B48" s="481" t="s">
        <v>203</v>
      </c>
      <c r="C48" s="482"/>
      <c r="D48" s="228" t="s">
        <v>202</v>
      </c>
      <c r="E48" s="230">
        <v>3000</v>
      </c>
    </row>
    <row r="49" spans="2:5" ht="15.75">
      <c r="B49" s="481" t="s">
        <v>205</v>
      </c>
      <c r="C49" s="482"/>
      <c r="D49" s="228" t="s">
        <v>204</v>
      </c>
      <c r="E49" s="230">
        <v>5000</v>
      </c>
    </row>
    <row r="50" spans="2:5" ht="15.75">
      <c r="B50" s="481" t="s">
        <v>208</v>
      </c>
      <c r="C50" s="482"/>
      <c r="D50" s="228" t="s">
        <v>207</v>
      </c>
      <c r="E50" s="230">
        <v>500</v>
      </c>
    </row>
    <row r="51" spans="2:5" ht="15.75">
      <c r="B51" s="393" t="s">
        <v>212</v>
      </c>
      <c r="C51" s="394"/>
      <c r="D51" s="51"/>
      <c r="E51" s="232">
        <f>SUM(E31:E50)</f>
        <v>143000</v>
      </c>
    </row>
    <row r="53" spans="1:2" ht="15.75">
      <c r="A53" s="229" t="s">
        <v>604</v>
      </c>
      <c r="B53" s="239" t="s">
        <v>613</v>
      </c>
    </row>
    <row r="54" spans="1:5" ht="15.75">
      <c r="A54" s="229" t="s">
        <v>609</v>
      </c>
      <c r="B54" s="480" t="s">
        <v>614</v>
      </c>
      <c r="C54" s="480"/>
      <c r="D54" s="480"/>
      <c r="E54" s="480"/>
    </row>
    <row r="55" spans="1:5" ht="15.75">
      <c r="A55" s="229"/>
      <c r="B55" s="261"/>
      <c r="C55" s="261"/>
      <c r="D55" s="43" t="s">
        <v>608</v>
      </c>
      <c r="E55" s="261"/>
    </row>
    <row r="56" spans="2:5" ht="15.75">
      <c r="B56" s="481" t="s">
        <v>165</v>
      </c>
      <c r="C56" s="482"/>
      <c r="D56" s="228" t="s">
        <v>164</v>
      </c>
      <c r="E56" s="230">
        <v>200000</v>
      </c>
    </row>
    <row r="57" spans="2:5" ht="15.75">
      <c r="B57" s="481" t="s">
        <v>611</v>
      </c>
      <c r="C57" s="482"/>
      <c r="D57" s="228" t="s">
        <v>160</v>
      </c>
      <c r="E57" s="230">
        <v>2000</v>
      </c>
    </row>
    <row r="58" spans="2:5" ht="15.75">
      <c r="B58" s="393" t="s">
        <v>212</v>
      </c>
      <c r="C58" s="394"/>
      <c r="D58" s="51"/>
      <c r="E58" s="232">
        <f>SUM(E56:E57)</f>
        <v>202000</v>
      </c>
    </row>
    <row r="59" spans="2:5" ht="15.75">
      <c r="B59" s="265"/>
      <c r="C59" s="265"/>
      <c r="D59" s="266"/>
      <c r="E59" s="267"/>
    </row>
    <row r="60" spans="1:2" ht="15.75">
      <c r="A60" s="229" t="s">
        <v>604</v>
      </c>
      <c r="B60" s="239" t="s">
        <v>684</v>
      </c>
    </row>
    <row r="61" spans="1:8" ht="15.75">
      <c r="A61" s="229" t="s">
        <v>609</v>
      </c>
      <c r="B61" s="480" t="s">
        <v>521</v>
      </c>
      <c r="C61" s="480"/>
      <c r="D61" s="480"/>
      <c r="E61" s="480"/>
      <c r="G61" s="268"/>
      <c r="H61" s="268"/>
    </row>
    <row r="62" spans="1:8" ht="15.75">
      <c r="A62" s="229"/>
      <c r="B62" s="261"/>
      <c r="C62" s="261"/>
      <c r="D62" s="43" t="s">
        <v>608</v>
      </c>
      <c r="E62" s="261"/>
      <c r="G62" s="268"/>
      <c r="H62" s="268"/>
    </row>
    <row r="63" spans="2:8" ht="15.75">
      <c r="B63" s="481" t="s">
        <v>522</v>
      </c>
      <c r="C63" s="482"/>
      <c r="D63" s="21" t="s">
        <v>235</v>
      </c>
      <c r="E63" s="230">
        <f>279000+13200-100</f>
        <v>292100</v>
      </c>
      <c r="G63" s="236"/>
      <c r="H63" s="263"/>
    </row>
    <row r="64" spans="2:8" ht="15.75">
      <c r="B64" s="481" t="s">
        <v>523</v>
      </c>
      <c r="C64" s="482"/>
      <c r="D64" s="21" t="s">
        <v>241</v>
      </c>
      <c r="E64" s="230">
        <f>4100+1100</f>
        <v>5200</v>
      </c>
      <c r="G64" s="236"/>
      <c r="H64" s="263"/>
    </row>
    <row r="65" spans="2:8" ht="15.75">
      <c r="B65" s="481" t="s">
        <v>524</v>
      </c>
      <c r="C65" s="482"/>
      <c r="D65" s="21" t="s">
        <v>355</v>
      </c>
      <c r="E65" s="230">
        <v>16300</v>
      </c>
      <c r="G65" s="236"/>
      <c r="H65" s="263"/>
    </row>
    <row r="66" spans="2:8" ht="15.75">
      <c r="B66" s="481" t="s">
        <v>526</v>
      </c>
      <c r="C66" s="482"/>
      <c r="D66" s="21" t="s">
        <v>237</v>
      </c>
      <c r="E66" s="230">
        <v>202000</v>
      </c>
      <c r="G66" s="236"/>
      <c r="H66" s="263"/>
    </row>
    <row r="67" spans="2:5" ht="15.75">
      <c r="B67" s="393" t="s">
        <v>212</v>
      </c>
      <c r="C67" s="394"/>
      <c r="D67" s="51"/>
      <c r="E67" s="232">
        <f>SUM(E63:E66)</f>
        <v>515600</v>
      </c>
    </row>
    <row r="68" spans="2:5" ht="15.75">
      <c r="B68" s="265"/>
      <c r="C68" s="265"/>
      <c r="D68" s="266"/>
      <c r="E68" s="267"/>
    </row>
    <row r="69" spans="1:2" ht="15.75">
      <c r="A69" s="229" t="s">
        <v>604</v>
      </c>
      <c r="B69" s="239">
        <v>300</v>
      </c>
    </row>
    <row r="70" spans="1:5" ht="15.75">
      <c r="A70" s="229" t="s">
        <v>609</v>
      </c>
      <c r="B70" s="480" t="s">
        <v>615</v>
      </c>
      <c r="C70" s="480"/>
      <c r="D70" s="480"/>
      <c r="E70" s="480"/>
    </row>
    <row r="71" ht="15.75">
      <c r="D71" s="43" t="s">
        <v>608</v>
      </c>
    </row>
    <row r="72" spans="2:5" ht="15.75">
      <c r="B72" s="481" t="s">
        <v>322</v>
      </c>
      <c r="C72" s="482"/>
      <c r="D72" s="228" t="s">
        <v>323</v>
      </c>
      <c r="E72" s="230">
        <v>15000</v>
      </c>
    </row>
    <row r="73" spans="2:5" ht="15.75">
      <c r="B73" s="393" t="s">
        <v>212</v>
      </c>
      <c r="C73" s="394"/>
      <c r="D73" s="51"/>
      <c r="E73" s="232">
        <f>SUM(E72:E72)</f>
        <v>15000</v>
      </c>
    </row>
    <row r="75" spans="1:2" ht="15.75">
      <c r="A75" s="229" t="s">
        <v>604</v>
      </c>
      <c r="B75" s="239" t="s">
        <v>616</v>
      </c>
    </row>
    <row r="76" spans="1:5" ht="15.75">
      <c r="A76" s="229" t="s">
        <v>609</v>
      </c>
      <c r="B76" s="480" t="s">
        <v>527</v>
      </c>
      <c r="C76" s="480"/>
      <c r="D76" s="480"/>
      <c r="E76" s="480"/>
    </row>
    <row r="77" ht="15.75">
      <c r="D77" s="43" t="s">
        <v>608</v>
      </c>
    </row>
    <row r="78" spans="2:5" ht="15.75">
      <c r="B78" s="481" t="s">
        <v>359</v>
      </c>
      <c r="C78" s="482"/>
      <c r="D78" s="21" t="s">
        <v>342</v>
      </c>
      <c r="E78" s="230">
        <v>150000</v>
      </c>
    </row>
    <row r="79" spans="2:5" ht="15.75">
      <c r="B79" s="481" t="s">
        <v>358</v>
      </c>
      <c r="C79" s="482"/>
      <c r="D79" s="21" t="s">
        <v>155</v>
      </c>
      <c r="E79" s="230">
        <v>199000</v>
      </c>
    </row>
    <row r="80" spans="2:5" ht="15.75">
      <c r="B80" s="481" t="s">
        <v>230</v>
      </c>
      <c r="C80" s="482"/>
      <c r="D80" s="21" t="s">
        <v>229</v>
      </c>
      <c r="E80" s="230">
        <v>5000</v>
      </c>
    </row>
    <row r="81" spans="2:5" ht="15.75">
      <c r="B81" s="481" t="s">
        <v>154</v>
      </c>
      <c r="C81" s="482"/>
      <c r="D81" s="21" t="s">
        <v>153</v>
      </c>
      <c r="E81" s="230">
        <v>25334.08</v>
      </c>
    </row>
    <row r="82" spans="2:5" ht="15.75">
      <c r="B82" s="481" t="s">
        <v>593</v>
      </c>
      <c r="C82" s="482"/>
      <c r="D82" s="21" t="s">
        <v>594</v>
      </c>
      <c r="E82" s="230">
        <v>7000</v>
      </c>
    </row>
    <row r="83" spans="2:5" ht="15.75">
      <c r="B83" s="481" t="s">
        <v>338</v>
      </c>
      <c r="C83" s="482"/>
      <c r="D83" s="21" t="s">
        <v>339</v>
      </c>
      <c r="E83" s="230">
        <v>2000</v>
      </c>
    </row>
    <row r="84" spans="2:5" ht="15.75">
      <c r="B84" s="481" t="s">
        <v>232</v>
      </c>
      <c r="C84" s="482"/>
      <c r="D84" s="21" t="s">
        <v>231</v>
      </c>
      <c r="E84" s="230">
        <v>18900</v>
      </c>
    </row>
    <row r="85" spans="2:5" ht="15.75">
      <c r="B85" s="481" t="s">
        <v>344</v>
      </c>
      <c r="C85" s="482"/>
      <c r="D85" s="21" t="s">
        <v>345</v>
      </c>
      <c r="E85" s="230">
        <f>1200+1300</f>
        <v>2500</v>
      </c>
    </row>
    <row r="86" spans="2:5" ht="15.75">
      <c r="B86" s="481" t="s">
        <v>340</v>
      </c>
      <c r="C86" s="482"/>
      <c r="D86" s="21" t="s">
        <v>341</v>
      </c>
      <c r="E86" s="230">
        <v>4200</v>
      </c>
    </row>
    <row r="87" spans="2:5" ht="15.75">
      <c r="B87" s="481" t="s">
        <v>685</v>
      </c>
      <c r="C87" s="482"/>
      <c r="D87" s="21" t="s">
        <v>351</v>
      </c>
      <c r="E87" s="230">
        <v>1</v>
      </c>
    </row>
    <row r="88" spans="2:5" ht="15.75">
      <c r="B88" s="481" t="s">
        <v>686</v>
      </c>
      <c r="C88" s="482"/>
      <c r="D88" s="21" t="s">
        <v>288</v>
      </c>
      <c r="E88" s="230">
        <v>300</v>
      </c>
    </row>
    <row r="89" spans="2:5" ht="15.75">
      <c r="B89" s="481" t="s">
        <v>234</v>
      </c>
      <c r="C89" s="482"/>
      <c r="D89" s="21" t="s">
        <v>233</v>
      </c>
      <c r="E89" s="230">
        <v>11700</v>
      </c>
    </row>
    <row r="90" spans="2:5" ht="15.75">
      <c r="B90" s="481" t="s">
        <v>687</v>
      </c>
      <c r="C90" s="482"/>
      <c r="D90" s="21" t="s">
        <v>349</v>
      </c>
      <c r="E90" s="230">
        <v>90750</v>
      </c>
    </row>
    <row r="91" spans="2:5" ht="15.75">
      <c r="B91" s="481" t="s">
        <v>152</v>
      </c>
      <c r="C91" s="482"/>
      <c r="D91" s="21" t="s">
        <v>151</v>
      </c>
      <c r="E91" s="230">
        <v>7714.92</v>
      </c>
    </row>
    <row r="92" spans="2:5" ht="15.75">
      <c r="B92" s="481" t="s">
        <v>346</v>
      </c>
      <c r="C92" s="482"/>
      <c r="D92" s="21" t="s">
        <v>150</v>
      </c>
      <c r="E92" s="230">
        <v>500</v>
      </c>
    </row>
    <row r="93" spans="2:5" ht="15.75">
      <c r="B93" s="393" t="s">
        <v>212</v>
      </c>
      <c r="C93" s="394"/>
      <c r="D93" s="51"/>
      <c r="E93" s="232">
        <f>SUM(E78:E92)</f>
        <v>524900</v>
      </c>
    </row>
    <row r="95" spans="1:2" ht="15.75">
      <c r="A95" s="229" t="s">
        <v>604</v>
      </c>
      <c r="B95" s="239">
        <v>230</v>
      </c>
    </row>
    <row r="96" spans="1:5" ht="15.75">
      <c r="A96" s="229" t="s">
        <v>609</v>
      </c>
      <c r="B96" s="480" t="s">
        <v>533</v>
      </c>
      <c r="C96" s="480"/>
      <c r="D96" s="480"/>
      <c r="E96" s="480"/>
    </row>
    <row r="97" ht="15.75">
      <c r="D97" s="43" t="s">
        <v>608</v>
      </c>
    </row>
    <row r="98" spans="2:5" ht="15.75">
      <c r="B98" s="481" t="s">
        <v>617</v>
      </c>
      <c r="C98" s="482"/>
      <c r="D98" s="21" t="s">
        <v>343</v>
      </c>
      <c r="E98" s="230">
        <v>100000</v>
      </c>
    </row>
    <row r="99" spans="2:5" ht="15.75">
      <c r="B99" s="393" t="s">
        <v>212</v>
      </c>
      <c r="C99" s="394"/>
      <c r="D99" s="51"/>
      <c r="E99" s="232">
        <f>SUM(E98:E98)</f>
        <v>100000</v>
      </c>
    </row>
    <row r="100" spans="2:5" ht="15.75">
      <c r="B100" s="265"/>
      <c r="C100" s="265"/>
      <c r="D100" s="266"/>
      <c r="E100" s="267"/>
    </row>
    <row r="101" spans="1:2" ht="15.75">
      <c r="A101" s="229" t="s">
        <v>604</v>
      </c>
      <c r="B101" s="239" t="s">
        <v>677</v>
      </c>
    </row>
    <row r="102" spans="1:5" ht="15.75">
      <c r="A102" s="229" t="s">
        <v>609</v>
      </c>
      <c r="B102" s="480" t="s">
        <v>528</v>
      </c>
      <c r="C102" s="480"/>
      <c r="D102" s="480"/>
      <c r="E102" s="480"/>
    </row>
    <row r="103" spans="2:5" ht="15.75">
      <c r="B103" s="481" t="s">
        <v>678</v>
      </c>
      <c r="C103" s="482"/>
      <c r="D103" s="21"/>
      <c r="E103" s="230">
        <v>6614200</v>
      </c>
    </row>
    <row r="104" spans="2:5" ht="15.75">
      <c r="B104" s="481" t="s">
        <v>679</v>
      </c>
      <c r="C104" s="482"/>
      <c r="D104" s="21"/>
      <c r="E104" s="230">
        <v>1312100</v>
      </c>
    </row>
    <row r="105" spans="2:5" ht="15.75">
      <c r="B105" s="393" t="s">
        <v>212</v>
      </c>
      <c r="C105" s="394"/>
      <c r="D105" s="51"/>
      <c r="E105" s="232">
        <f>SUM(E103:E104)</f>
        <v>7926300</v>
      </c>
    </row>
    <row r="106" spans="2:5" ht="15.75">
      <c r="B106" s="265"/>
      <c r="C106" s="265"/>
      <c r="D106" s="266"/>
      <c r="E106" s="267"/>
    </row>
    <row r="107" spans="1:2" ht="15.75">
      <c r="A107" s="229" t="s">
        <v>604</v>
      </c>
      <c r="B107" s="239" t="s">
        <v>680</v>
      </c>
    </row>
    <row r="108" spans="1:5" ht="15.75">
      <c r="A108" s="229" t="s">
        <v>609</v>
      </c>
      <c r="B108" s="480" t="s">
        <v>681</v>
      </c>
      <c r="C108" s="480"/>
      <c r="D108" s="480"/>
      <c r="E108" s="480"/>
    </row>
    <row r="109" spans="2:5" ht="15.75">
      <c r="B109" s="481" t="s">
        <v>682</v>
      </c>
      <c r="C109" s="482"/>
      <c r="D109" s="21"/>
      <c r="E109" s="230">
        <v>1455300</v>
      </c>
    </row>
    <row r="110" spans="2:5" ht="15.75">
      <c r="B110" s="481" t="s">
        <v>683</v>
      </c>
      <c r="C110" s="482"/>
      <c r="D110" s="21"/>
      <c r="E110" s="230">
        <v>288600</v>
      </c>
    </row>
    <row r="111" spans="2:5" ht="15.75">
      <c r="B111" s="393" t="s">
        <v>212</v>
      </c>
      <c r="C111" s="394"/>
      <c r="D111" s="51"/>
      <c r="E111" s="232">
        <f>SUM(E109:E110)</f>
        <v>1743900</v>
      </c>
    </row>
    <row r="112" spans="2:5" ht="15.75">
      <c r="B112" s="265"/>
      <c r="C112" s="265"/>
      <c r="D112" s="266"/>
      <c r="E112" s="267"/>
    </row>
    <row r="113" spans="1:2" ht="15.75">
      <c r="A113" s="229" t="s">
        <v>604</v>
      </c>
      <c r="B113" s="239" t="s">
        <v>618</v>
      </c>
    </row>
    <row r="114" spans="1:5" ht="15.75">
      <c r="A114" s="229" t="s">
        <v>609</v>
      </c>
      <c r="B114" s="480" t="s">
        <v>619</v>
      </c>
      <c r="C114" s="480"/>
      <c r="D114" s="480"/>
      <c r="E114" s="480"/>
    </row>
    <row r="115" ht="15.75">
      <c r="D115" s="43" t="s">
        <v>608</v>
      </c>
    </row>
    <row r="116" spans="2:5" ht="15.75">
      <c r="B116" s="481" t="s">
        <v>248</v>
      </c>
      <c r="C116" s="482"/>
      <c r="D116" s="21" t="s">
        <v>249</v>
      </c>
      <c r="E116" s="230">
        <v>30000</v>
      </c>
    </row>
    <row r="117" spans="2:5" ht="15.75">
      <c r="B117" s="393" t="s">
        <v>212</v>
      </c>
      <c r="C117" s="394"/>
      <c r="D117" s="51"/>
      <c r="E117" s="232">
        <f>SUM(E116:E116)</f>
        <v>30000</v>
      </c>
    </row>
    <row r="119" spans="1:2" ht="15.75">
      <c r="A119" s="229" t="s">
        <v>604</v>
      </c>
      <c r="B119" s="239" t="s">
        <v>620</v>
      </c>
    </row>
    <row r="120" spans="1:5" ht="15.75">
      <c r="A120" s="229" t="s">
        <v>609</v>
      </c>
      <c r="B120" s="480" t="s">
        <v>623</v>
      </c>
      <c r="C120" s="480"/>
      <c r="D120" s="480"/>
      <c r="E120" s="480"/>
    </row>
    <row r="121" spans="2:4" ht="66" customHeight="1">
      <c r="B121" s="481" t="s">
        <v>676</v>
      </c>
      <c r="C121" s="482"/>
      <c r="D121" s="43" t="s">
        <v>622</v>
      </c>
    </row>
    <row r="122" spans="2:11" ht="49.5" customHeight="1">
      <c r="B122" s="481" t="s">
        <v>675</v>
      </c>
      <c r="C122" s="482"/>
      <c r="D122" s="21">
        <v>372.3</v>
      </c>
      <c r="E122" s="230">
        <v>145000</v>
      </c>
      <c r="H122" s="473" t="s">
        <v>360</v>
      </c>
      <c r="I122" s="473"/>
      <c r="J122" s="473"/>
      <c r="K122" s="473"/>
    </row>
    <row r="123" spans="2:11" ht="15.75">
      <c r="B123" s="393" t="s">
        <v>212</v>
      </c>
      <c r="C123" s="394"/>
      <c r="D123" s="51"/>
      <c r="E123" s="232">
        <f>SUM(E122:E122)</f>
        <v>145000</v>
      </c>
      <c r="H123" s="474" t="s">
        <v>361</v>
      </c>
      <c r="I123" s="476" t="s">
        <v>362</v>
      </c>
      <c r="J123" s="477"/>
      <c r="K123" s="75" t="s">
        <v>363</v>
      </c>
    </row>
    <row r="124" spans="8:11" ht="15.75">
      <c r="H124" s="475"/>
      <c r="I124" s="75" t="s">
        <v>364</v>
      </c>
      <c r="J124" s="75" t="s">
        <v>365</v>
      </c>
      <c r="K124" s="75" t="s">
        <v>364</v>
      </c>
    </row>
    <row r="125" spans="1:11" ht="15.75">
      <c r="A125" s="229" t="s">
        <v>604</v>
      </c>
      <c r="B125" s="239">
        <v>280</v>
      </c>
      <c r="H125" s="478" t="s">
        <v>674</v>
      </c>
      <c r="I125" s="478" t="s">
        <v>366</v>
      </c>
      <c r="J125" s="478" t="s">
        <v>367</v>
      </c>
      <c r="K125" s="259" t="s">
        <v>368</v>
      </c>
    </row>
    <row r="126" spans="1:11" ht="71.25">
      <c r="A126" s="229" t="s">
        <v>609</v>
      </c>
      <c r="B126" s="69" t="s">
        <v>672</v>
      </c>
      <c r="H126" s="479"/>
      <c r="I126" s="479"/>
      <c r="J126" s="479"/>
      <c r="K126" s="260" t="s">
        <v>369</v>
      </c>
    </row>
    <row r="127" spans="8:11" ht="24">
      <c r="H127" s="76" t="s">
        <v>370</v>
      </c>
      <c r="I127"/>
      <c r="J127"/>
      <c r="K127"/>
    </row>
    <row r="128" spans="2:11" ht="75">
      <c r="B128" s="485" t="s">
        <v>673</v>
      </c>
      <c r="C128" s="486"/>
      <c r="D128" s="233"/>
      <c r="E128" s="230">
        <v>3000</v>
      </c>
      <c r="H128" s="77" t="s">
        <v>371</v>
      </c>
      <c r="I128"/>
      <c r="J128"/>
      <c r="K128"/>
    </row>
    <row r="129" spans="2:5" ht="15.75">
      <c r="B129" s="393" t="s">
        <v>212</v>
      </c>
      <c r="C129" s="394"/>
      <c r="D129" s="51"/>
      <c r="E129" s="232">
        <f>SUM(E128:E128)</f>
        <v>3000</v>
      </c>
    </row>
    <row r="131" spans="1:2" ht="15.75">
      <c r="A131" s="229" t="s">
        <v>604</v>
      </c>
      <c r="B131" s="239" t="s">
        <v>625</v>
      </c>
    </row>
    <row r="132" spans="1:5" ht="15.75">
      <c r="A132" s="229" t="s">
        <v>609</v>
      </c>
      <c r="B132" s="480" t="s">
        <v>626</v>
      </c>
      <c r="C132" s="480"/>
      <c r="D132" s="480"/>
      <c r="E132" s="480"/>
    </row>
    <row r="133" spans="3:6" ht="16.5" customHeight="1">
      <c r="C133" s="69" t="s">
        <v>378</v>
      </c>
      <c r="D133" s="69" t="s">
        <v>624</v>
      </c>
      <c r="E133" s="43" t="s">
        <v>608</v>
      </c>
      <c r="F133" s="69" t="s">
        <v>392</v>
      </c>
    </row>
    <row r="134" spans="2:7" ht="15.75">
      <c r="B134" s="262" t="s">
        <v>380</v>
      </c>
      <c r="C134" s="49">
        <v>1</v>
      </c>
      <c r="D134" s="49">
        <v>250000</v>
      </c>
      <c r="E134" s="21" t="s">
        <v>381</v>
      </c>
      <c r="F134" s="230">
        <f>D134*C134</f>
        <v>250000</v>
      </c>
      <c r="G134" s="237"/>
    </row>
    <row r="135" spans="2:7" ht="15.75">
      <c r="B135" s="262" t="s">
        <v>385</v>
      </c>
      <c r="C135" s="49">
        <v>2</v>
      </c>
      <c r="D135" s="49">
        <v>30000</v>
      </c>
      <c r="E135" s="21" t="s">
        <v>386</v>
      </c>
      <c r="F135" s="230">
        <f>D135*C135</f>
        <v>60000</v>
      </c>
      <c r="G135" s="237"/>
    </row>
    <row r="136" spans="2:8" ht="15.75">
      <c r="B136" s="397" t="s">
        <v>212</v>
      </c>
      <c r="C136" s="398"/>
      <c r="D136" s="49"/>
      <c r="E136" s="49"/>
      <c r="F136" s="238">
        <f>SUM(F134:F135)</f>
        <v>310000</v>
      </c>
      <c r="G136" s="264"/>
      <c r="H136" s="74"/>
    </row>
  </sheetData>
  <sheetProtection/>
  <mergeCells count="97">
    <mergeCell ref="B66:C66"/>
    <mergeCell ref="B67:C67"/>
    <mergeCell ref="B108:E108"/>
    <mergeCell ref="B109:C109"/>
    <mergeCell ref="B110:C110"/>
    <mergeCell ref="B111:C111"/>
    <mergeCell ref="B103:C103"/>
    <mergeCell ref="B85:C85"/>
    <mergeCell ref="B86:C86"/>
    <mergeCell ref="B87:C87"/>
    <mergeCell ref="B129:C129"/>
    <mergeCell ref="B132:E132"/>
    <mergeCell ref="B120:E120"/>
    <mergeCell ref="B122:C122"/>
    <mergeCell ref="B123:C123"/>
    <mergeCell ref="B128:C128"/>
    <mergeCell ref="B121:C121"/>
    <mergeCell ref="B136:C136"/>
    <mergeCell ref="B90:C90"/>
    <mergeCell ref="H122:K122"/>
    <mergeCell ref="H123:H124"/>
    <mergeCell ref="I123:J123"/>
    <mergeCell ref="H125:H126"/>
    <mergeCell ref="I125:I126"/>
    <mergeCell ref="J125:J126"/>
    <mergeCell ref="B116:C116"/>
    <mergeCell ref="B117:C117"/>
    <mergeCell ref="B92:C92"/>
    <mergeCell ref="B93:C93"/>
    <mergeCell ref="B96:E96"/>
    <mergeCell ref="B98:C98"/>
    <mergeCell ref="B99:C99"/>
    <mergeCell ref="B114:E114"/>
    <mergeCell ref="B102:E102"/>
    <mergeCell ref="B104:C104"/>
    <mergeCell ref="B105:C105"/>
    <mergeCell ref="B88:C88"/>
    <mergeCell ref="B89:C89"/>
    <mergeCell ref="B91:C91"/>
    <mergeCell ref="B79:C79"/>
    <mergeCell ref="B80:C80"/>
    <mergeCell ref="B81:C81"/>
    <mergeCell ref="B82:C82"/>
    <mergeCell ref="B83:C83"/>
    <mergeCell ref="B84:C84"/>
    <mergeCell ref="B58:C58"/>
    <mergeCell ref="B70:E70"/>
    <mergeCell ref="B72:C72"/>
    <mergeCell ref="B73:C73"/>
    <mergeCell ref="B76:E76"/>
    <mergeCell ref="B78:C78"/>
    <mergeCell ref="B61:E61"/>
    <mergeCell ref="B63:C63"/>
    <mergeCell ref="B64:C64"/>
    <mergeCell ref="B65:C65"/>
    <mergeCell ref="B49:C49"/>
    <mergeCell ref="B50:C50"/>
    <mergeCell ref="B51:C51"/>
    <mergeCell ref="B54:E54"/>
    <mergeCell ref="B56:C56"/>
    <mergeCell ref="B57:C57"/>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0:C20"/>
    <mergeCell ref="B21:C21"/>
    <mergeCell ref="B22:C22"/>
    <mergeCell ref="B23:C23"/>
    <mergeCell ref="B24:C24"/>
    <mergeCell ref="B29:E29"/>
    <mergeCell ref="B10:C10"/>
    <mergeCell ref="B14:E14"/>
    <mergeCell ref="B16:C16"/>
    <mergeCell ref="B17:C17"/>
    <mergeCell ref="B18:C18"/>
    <mergeCell ref="B19:C19"/>
    <mergeCell ref="B2:D2"/>
    <mergeCell ref="B3:D3"/>
    <mergeCell ref="B4:D4"/>
    <mergeCell ref="B7:E7"/>
    <mergeCell ref="B8:C8"/>
    <mergeCell ref="B9:C9"/>
  </mergeCells>
  <dataValidations count="2">
    <dataValidation type="decimal" allowBlank="1" showInputMessage="1" showErrorMessage="1" errorTitle="Очікувана вартість" error="Очікувана вартість предмета закупівлі - тілько число" sqref="D85 P89:P90 D83 E79:E92 D78:E78 D98:E98 D87:D89">
      <formula1>0</formula1>
      <formula2>1E+32</formula2>
    </dataValidation>
    <dataValidation type="textLength" allowBlank="1" showInputMessage="1" showErrorMessage="1" promptTitle="обов'язкове" prompt="обов'язкове" sqref="D33 D92 D116 D122 D104 D110">
      <formula1>1</formula1>
      <formula2>200000</formula2>
    </dataValidation>
  </dataValidations>
  <hyperlinks>
    <hyperlink ref="H128" r:id="rId1" display="https://www.profiwins.com.ua/uk/letters-and-orders/cmu/1653-98.html"/>
  </hyperlinks>
  <printOptions/>
  <pageMargins left="0.1968503937007874" right="0.1968503937007874" top="0.1968503937007874" bottom="0.1968503937007874" header="0.1968503937007874" footer="0.1968503937007874"/>
  <pageSetup horizontalDpi="600" verticalDpi="600" orientation="landscape" paperSize="9" scale="75" r:id="rId2"/>
</worksheet>
</file>

<file path=xl/worksheets/sheet13.xml><?xml version="1.0" encoding="utf-8"?>
<worksheet xmlns="http://schemas.openxmlformats.org/spreadsheetml/2006/main" xmlns:r="http://schemas.openxmlformats.org/officeDocument/2006/relationships">
  <dimension ref="A2:H115"/>
  <sheetViews>
    <sheetView zoomScale="90" zoomScaleNormal="90" zoomScalePageLayoutView="0" workbookViewId="0" topLeftCell="A41">
      <selection activeCell="G111" sqref="G111"/>
    </sheetView>
  </sheetViews>
  <sheetFormatPr defaultColWidth="9.140625" defaultRowHeight="15"/>
  <cols>
    <col min="1" max="1" width="13.7109375" style="69" bestFit="1" customWidth="1"/>
    <col min="2" max="2" width="86.57421875" style="69" customWidth="1"/>
    <col min="3" max="3" width="34.00390625" style="69" customWidth="1"/>
    <col min="4" max="4" width="16.8515625" style="69" customWidth="1"/>
    <col min="5" max="5" width="13.140625" style="69" bestFit="1" customWidth="1"/>
    <col min="6" max="6" width="15.28125" style="69" customWidth="1"/>
    <col min="7" max="16384" width="9.140625" style="69" customWidth="1"/>
  </cols>
  <sheetData>
    <row r="2" spans="2:8" ht="18.75">
      <c r="B2" s="483" t="s">
        <v>601</v>
      </c>
      <c r="C2" s="483"/>
      <c r="D2" s="483"/>
      <c r="E2" s="240"/>
      <c r="F2" s="240"/>
      <c r="G2" s="226"/>
      <c r="H2" s="226"/>
    </row>
    <row r="3" spans="2:4" ht="18.75">
      <c r="B3" s="484" t="s">
        <v>602</v>
      </c>
      <c r="C3" s="484"/>
      <c r="D3" s="484"/>
    </row>
    <row r="4" spans="2:6" ht="18.75">
      <c r="B4" s="484" t="s">
        <v>603</v>
      </c>
      <c r="C4" s="484"/>
      <c r="D4" s="484"/>
      <c r="E4" s="240"/>
      <c r="F4" s="240"/>
    </row>
    <row r="6" spans="1:2" ht="15.75">
      <c r="A6" s="229" t="s">
        <v>604</v>
      </c>
      <c r="B6" s="239">
        <v>220</v>
      </c>
    </row>
    <row r="7" spans="1:5" ht="15.75">
      <c r="A7" s="229" t="s">
        <v>609</v>
      </c>
      <c r="B7" s="487" t="s">
        <v>532</v>
      </c>
      <c r="C7" s="487"/>
      <c r="D7" s="487"/>
      <c r="E7" s="487"/>
    </row>
    <row r="8" spans="2:5" ht="33.75" customHeight="1">
      <c r="B8" s="487" t="s">
        <v>605</v>
      </c>
      <c r="C8" s="487"/>
      <c r="D8" s="233"/>
      <c r="E8" s="230">
        <v>140905.41</v>
      </c>
    </row>
    <row r="9" spans="2:5" ht="33" customHeight="1">
      <c r="B9" s="487" t="s">
        <v>606</v>
      </c>
      <c r="C9" s="487"/>
      <c r="D9" s="233"/>
      <c r="E9" s="230">
        <v>720000</v>
      </c>
    </row>
    <row r="10" spans="2:5" s="219" customFormat="1" ht="15.75">
      <c r="B10" s="488" t="s">
        <v>212</v>
      </c>
      <c r="C10" s="489"/>
      <c r="D10" s="234"/>
      <c r="E10" s="232">
        <f>E8+E9</f>
        <v>860905.41</v>
      </c>
    </row>
    <row r="11" s="219" customFormat="1" ht="15.75">
      <c r="E11" s="227"/>
    </row>
    <row r="12" s="219" customFormat="1" ht="15.75">
      <c r="E12" s="227"/>
    </row>
    <row r="13" spans="1:4" s="219" customFormat="1" ht="15.75">
      <c r="A13" s="229" t="s">
        <v>604</v>
      </c>
      <c r="B13" s="239">
        <v>141</v>
      </c>
      <c r="D13" s="229"/>
    </row>
    <row r="14" spans="1:5" ht="15.75">
      <c r="A14" s="229" t="s">
        <v>609</v>
      </c>
      <c r="B14" s="480" t="s">
        <v>610</v>
      </c>
      <c r="C14" s="480"/>
      <c r="D14" s="480"/>
      <c r="E14" s="480"/>
    </row>
    <row r="15" ht="19.5" customHeight="1">
      <c r="D15" s="43" t="s">
        <v>608</v>
      </c>
    </row>
    <row r="16" spans="2:5" ht="16.5" customHeight="1">
      <c r="B16" s="481" t="s">
        <v>330</v>
      </c>
      <c r="C16" s="482"/>
      <c r="D16" s="228" t="s">
        <v>214</v>
      </c>
      <c r="E16" s="230">
        <v>5000</v>
      </c>
    </row>
    <row r="17" spans="2:5" ht="15.75">
      <c r="B17" s="481" t="s">
        <v>218</v>
      </c>
      <c r="C17" s="482"/>
      <c r="D17" s="228" t="s">
        <v>217</v>
      </c>
      <c r="E17" s="230">
        <v>1000</v>
      </c>
    </row>
    <row r="18" spans="2:5" ht="15" customHeight="1">
      <c r="B18" s="481" t="s">
        <v>331</v>
      </c>
      <c r="C18" s="482"/>
      <c r="D18" s="228" t="s">
        <v>219</v>
      </c>
      <c r="E18" s="230">
        <v>2000</v>
      </c>
    </row>
    <row r="19" spans="2:5" ht="16.5" customHeight="1">
      <c r="B19" s="481" t="s">
        <v>332</v>
      </c>
      <c r="C19" s="482"/>
      <c r="D19" s="228" t="s">
        <v>333</v>
      </c>
      <c r="E19" s="230">
        <v>2000</v>
      </c>
    </row>
    <row r="20" spans="2:5" ht="17.25" customHeight="1">
      <c r="B20" s="481" t="s">
        <v>388</v>
      </c>
      <c r="C20" s="482"/>
      <c r="D20" s="228" t="s">
        <v>334</v>
      </c>
      <c r="E20" s="230">
        <v>25000</v>
      </c>
    </row>
    <row r="21" spans="2:5" ht="33" customHeight="1">
      <c r="B21" s="481" t="s">
        <v>335</v>
      </c>
      <c r="C21" s="482"/>
      <c r="D21" s="228" t="s">
        <v>222</v>
      </c>
      <c r="E21" s="230">
        <v>125000</v>
      </c>
    </row>
    <row r="22" spans="2:5" ht="192.75" customHeight="1">
      <c r="B22" s="481" t="s">
        <v>607</v>
      </c>
      <c r="C22" s="482"/>
      <c r="D22" s="228" t="s">
        <v>266</v>
      </c>
      <c r="E22" s="230">
        <v>100000</v>
      </c>
    </row>
    <row r="23" spans="2:5" ht="15.75">
      <c r="B23" s="481" t="s">
        <v>336</v>
      </c>
      <c r="C23" s="482"/>
      <c r="D23" s="228" t="s">
        <v>337</v>
      </c>
      <c r="E23" s="230">
        <v>5000</v>
      </c>
    </row>
    <row r="24" spans="2:5" ht="15.75">
      <c r="B24" s="393" t="s">
        <v>212</v>
      </c>
      <c r="C24" s="394"/>
      <c r="D24" s="51"/>
      <c r="E24" s="232">
        <f>SUM(E16:E23)</f>
        <v>265000</v>
      </c>
    </row>
    <row r="28" spans="1:2" ht="15.75">
      <c r="A28" s="229" t="s">
        <v>604</v>
      </c>
      <c r="B28" s="239" t="s">
        <v>612</v>
      </c>
    </row>
    <row r="29" spans="1:5" ht="15.75" customHeight="1">
      <c r="A29" s="229" t="s">
        <v>609</v>
      </c>
      <c r="B29" s="480" t="s">
        <v>519</v>
      </c>
      <c r="C29" s="480"/>
      <c r="D29" s="480"/>
      <c r="E29" s="480"/>
    </row>
    <row r="30" spans="1:5" ht="15.75" customHeight="1">
      <c r="A30" s="229"/>
      <c r="B30" s="231"/>
      <c r="C30" s="231"/>
      <c r="D30" s="43" t="s">
        <v>608</v>
      </c>
      <c r="E30" s="231"/>
    </row>
    <row r="31" spans="2:5" ht="15.75">
      <c r="B31" s="481" t="s">
        <v>274</v>
      </c>
      <c r="C31" s="482"/>
      <c r="D31" s="228" t="s">
        <v>167</v>
      </c>
      <c r="E31" s="230">
        <v>3000</v>
      </c>
    </row>
    <row r="32" spans="2:5" ht="15.75">
      <c r="B32" s="481" t="s">
        <v>171</v>
      </c>
      <c r="C32" s="482"/>
      <c r="D32" s="228" t="s">
        <v>170</v>
      </c>
      <c r="E32" s="230">
        <v>500</v>
      </c>
    </row>
    <row r="33" spans="2:5" ht="15.75">
      <c r="B33" s="481" t="s">
        <v>174</v>
      </c>
      <c r="C33" s="482"/>
      <c r="D33" s="228" t="s">
        <v>173</v>
      </c>
      <c r="E33" s="230">
        <v>20000</v>
      </c>
    </row>
    <row r="34" spans="2:5" ht="15.75">
      <c r="B34" s="481" t="s">
        <v>324</v>
      </c>
      <c r="C34" s="482"/>
      <c r="D34" s="228" t="s">
        <v>175</v>
      </c>
      <c r="E34" s="230">
        <v>20000</v>
      </c>
    </row>
    <row r="35" spans="2:5" ht="15.75">
      <c r="B35" s="481" t="s">
        <v>179</v>
      </c>
      <c r="C35" s="482"/>
      <c r="D35" s="228" t="s">
        <v>178</v>
      </c>
      <c r="E35" s="230">
        <v>15000</v>
      </c>
    </row>
    <row r="36" spans="2:5" ht="15.75">
      <c r="B36" s="481" t="s">
        <v>181</v>
      </c>
      <c r="C36" s="482"/>
      <c r="D36" s="228" t="s">
        <v>180</v>
      </c>
      <c r="E36" s="230">
        <v>4000</v>
      </c>
    </row>
    <row r="37" spans="2:5" ht="15.75">
      <c r="B37" s="481" t="s">
        <v>183</v>
      </c>
      <c r="C37" s="482"/>
      <c r="D37" s="228" t="s">
        <v>182</v>
      </c>
      <c r="E37" s="230">
        <v>1000</v>
      </c>
    </row>
    <row r="38" spans="2:5" ht="15.75">
      <c r="B38" s="481" t="s">
        <v>185</v>
      </c>
      <c r="C38" s="482"/>
      <c r="D38" s="228" t="s">
        <v>184</v>
      </c>
      <c r="E38" s="230">
        <v>2000</v>
      </c>
    </row>
    <row r="39" spans="2:5" ht="15.75">
      <c r="B39" s="481" t="s">
        <v>187</v>
      </c>
      <c r="C39" s="482"/>
      <c r="D39" s="228" t="s">
        <v>186</v>
      </c>
      <c r="E39" s="230">
        <v>2000</v>
      </c>
    </row>
    <row r="40" spans="2:5" ht="15.75">
      <c r="B40" s="481" t="s">
        <v>189</v>
      </c>
      <c r="C40" s="482"/>
      <c r="D40" s="228" t="s">
        <v>188</v>
      </c>
      <c r="E40" s="230">
        <v>20000</v>
      </c>
    </row>
    <row r="41" spans="2:5" ht="15.75">
      <c r="B41" s="481" t="s">
        <v>191</v>
      </c>
      <c r="C41" s="482"/>
      <c r="D41" s="228" t="s">
        <v>190</v>
      </c>
      <c r="E41" s="230">
        <v>5000</v>
      </c>
    </row>
    <row r="42" spans="2:5" ht="15.75">
      <c r="B42" s="481" t="s">
        <v>159</v>
      </c>
      <c r="C42" s="482"/>
      <c r="D42" s="228" t="s">
        <v>158</v>
      </c>
      <c r="E42" s="230">
        <v>20000</v>
      </c>
    </row>
    <row r="43" spans="2:5" ht="15.75">
      <c r="B43" s="481" t="s">
        <v>193</v>
      </c>
      <c r="C43" s="482"/>
      <c r="D43" s="228" t="s">
        <v>192</v>
      </c>
      <c r="E43" s="230">
        <v>2000</v>
      </c>
    </row>
    <row r="44" spans="2:5" ht="15.75">
      <c r="B44" s="481" t="s">
        <v>245</v>
      </c>
      <c r="C44" s="482"/>
      <c r="D44" s="228" t="s">
        <v>194</v>
      </c>
      <c r="E44" s="230">
        <v>5000</v>
      </c>
    </row>
    <row r="45" spans="2:5" ht="15.75">
      <c r="B45" s="481" t="s">
        <v>198</v>
      </c>
      <c r="C45" s="482"/>
      <c r="D45" s="228" t="s">
        <v>197</v>
      </c>
      <c r="E45" s="230">
        <v>3000</v>
      </c>
    </row>
    <row r="46" spans="2:5" ht="15.75">
      <c r="B46" s="481" t="s">
        <v>246</v>
      </c>
      <c r="C46" s="482"/>
      <c r="D46" s="228" t="s">
        <v>199</v>
      </c>
      <c r="E46" s="230">
        <v>10000</v>
      </c>
    </row>
    <row r="47" spans="2:5" ht="15.75">
      <c r="B47" s="481" t="s">
        <v>210</v>
      </c>
      <c r="C47" s="482"/>
      <c r="D47" s="228" t="s">
        <v>209</v>
      </c>
      <c r="E47" s="230">
        <v>2000</v>
      </c>
    </row>
    <row r="48" spans="2:5" ht="15.75">
      <c r="B48" s="481" t="s">
        <v>203</v>
      </c>
      <c r="C48" s="482"/>
      <c r="D48" s="228" t="s">
        <v>202</v>
      </c>
      <c r="E48" s="230">
        <v>3000</v>
      </c>
    </row>
    <row r="49" spans="2:5" ht="15.75">
      <c r="B49" s="481" t="s">
        <v>205</v>
      </c>
      <c r="C49" s="482"/>
      <c r="D49" s="228" t="s">
        <v>204</v>
      </c>
      <c r="E49" s="230">
        <v>5000</v>
      </c>
    </row>
    <row r="50" spans="2:5" ht="15.75">
      <c r="B50" s="481" t="s">
        <v>208</v>
      </c>
      <c r="C50" s="482"/>
      <c r="D50" s="228" t="s">
        <v>207</v>
      </c>
      <c r="E50" s="230">
        <v>500</v>
      </c>
    </row>
    <row r="51" spans="2:5" ht="15.75">
      <c r="B51" s="393" t="s">
        <v>212</v>
      </c>
      <c r="C51" s="394"/>
      <c r="D51" s="51"/>
      <c r="E51" s="232">
        <f>SUM(E31:E50)</f>
        <v>143000</v>
      </c>
    </row>
    <row r="53" spans="1:2" ht="15.75">
      <c r="A53" s="229" t="s">
        <v>604</v>
      </c>
      <c r="B53" s="239" t="s">
        <v>613</v>
      </c>
    </row>
    <row r="54" spans="1:5" ht="15.75">
      <c r="A54" s="229" t="s">
        <v>609</v>
      </c>
      <c r="B54" s="480" t="s">
        <v>614</v>
      </c>
      <c r="C54" s="480"/>
      <c r="D54" s="480"/>
      <c r="E54" s="480"/>
    </row>
    <row r="55" spans="1:5" ht="15.75">
      <c r="A55" s="229"/>
      <c r="B55" s="231"/>
      <c r="C55" s="231"/>
      <c r="D55" s="43" t="s">
        <v>608</v>
      </c>
      <c r="E55" s="231"/>
    </row>
    <row r="56" spans="2:5" ht="15.75">
      <c r="B56" s="481" t="s">
        <v>165</v>
      </c>
      <c r="C56" s="482"/>
      <c r="D56" s="228" t="s">
        <v>164</v>
      </c>
      <c r="E56" s="230">
        <v>200000</v>
      </c>
    </row>
    <row r="57" spans="2:5" ht="15.75">
      <c r="B57" s="481" t="s">
        <v>611</v>
      </c>
      <c r="C57" s="482"/>
      <c r="D57" s="228" t="s">
        <v>160</v>
      </c>
      <c r="E57" s="230">
        <v>2000</v>
      </c>
    </row>
    <row r="58" spans="2:5" ht="15.75">
      <c r="B58" s="393" t="s">
        <v>212</v>
      </c>
      <c r="C58" s="394"/>
      <c r="D58" s="51"/>
      <c r="E58" s="232">
        <f>SUM(E56:E57)</f>
        <v>202000</v>
      </c>
    </row>
    <row r="60" spans="1:2" ht="15.75">
      <c r="A60" s="229" t="s">
        <v>604</v>
      </c>
      <c r="B60" s="239">
        <v>300</v>
      </c>
    </row>
    <row r="61" spans="1:5" ht="15.75">
      <c r="A61" s="229" t="s">
        <v>609</v>
      </c>
      <c r="B61" s="480" t="s">
        <v>615</v>
      </c>
      <c r="C61" s="480"/>
      <c r="D61" s="480"/>
      <c r="E61" s="480"/>
    </row>
    <row r="62" ht="15.75">
      <c r="D62" s="43" t="s">
        <v>608</v>
      </c>
    </row>
    <row r="63" spans="2:5" ht="15.75">
      <c r="B63" s="481" t="s">
        <v>322</v>
      </c>
      <c r="C63" s="482"/>
      <c r="D63" s="228" t="s">
        <v>323</v>
      </c>
      <c r="E63" s="230">
        <v>15000</v>
      </c>
    </row>
    <row r="64" spans="2:5" ht="15.75">
      <c r="B64" s="393" t="s">
        <v>212</v>
      </c>
      <c r="C64" s="394"/>
      <c r="D64" s="51"/>
      <c r="E64" s="232">
        <f>SUM(E63:E63)</f>
        <v>15000</v>
      </c>
    </row>
    <row r="66" spans="1:2" ht="15.75">
      <c r="A66" s="229" t="s">
        <v>604</v>
      </c>
      <c r="B66" s="239" t="s">
        <v>616</v>
      </c>
    </row>
    <row r="67" spans="1:5" ht="15.75">
      <c r="A67" s="229" t="s">
        <v>609</v>
      </c>
      <c r="B67" s="480" t="s">
        <v>527</v>
      </c>
      <c r="C67" s="480"/>
      <c r="D67" s="480"/>
      <c r="E67" s="480"/>
    </row>
    <row r="68" ht="15.75">
      <c r="D68" s="43" t="s">
        <v>608</v>
      </c>
    </row>
    <row r="69" spans="2:5" ht="15.75">
      <c r="B69" s="481" t="s">
        <v>359</v>
      </c>
      <c r="C69" s="482"/>
      <c r="D69" s="21" t="s">
        <v>342</v>
      </c>
      <c r="E69" s="230">
        <v>150000</v>
      </c>
    </row>
    <row r="70" spans="2:5" ht="15.75">
      <c r="B70" s="481" t="s">
        <v>358</v>
      </c>
      <c r="C70" s="482"/>
      <c r="D70" s="21" t="s">
        <v>155</v>
      </c>
      <c r="E70" s="230">
        <v>199000</v>
      </c>
    </row>
    <row r="71" spans="2:5" ht="15.75">
      <c r="B71" s="481" t="s">
        <v>230</v>
      </c>
      <c r="C71" s="482"/>
      <c r="D71" s="21" t="s">
        <v>229</v>
      </c>
      <c r="E71" s="230">
        <v>5000</v>
      </c>
    </row>
    <row r="72" spans="2:5" ht="15.75">
      <c r="B72" s="481" t="s">
        <v>154</v>
      </c>
      <c r="C72" s="482"/>
      <c r="D72" s="21" t="s">
        <v>153</v>
      </c>
      <c r="E72" s="230">
        <v>25334.08</v>
      </c>
    </row>
    <row r="73" spans="2:5" ht="15.75">
      <c r="B73" s="481" t="s">
        <v>593</v>
      </c>
      <c r="C73" s="482"/>
      <c r="D73" s="21" t="s">
        <v>594</v>
      </c>
      <c r="E73" s="230">
        <v>7000</v>
      </c>
    </row>
    <row r="74" spans="2:5" ht="15.75">
      <c r="B74" s="481" t="s">
        <v>338</v>
      </c>
      <c r="C74" s="482"/>
      <c r="D74" s="21" t="s">
        <v>339</v>
      </c>
      <c r="E74" s="230">
        <v>2000</v>
      </c>
    </row>
    <row r="75" spans="2:5" ht="15.75">
      <c r="B75" s="481" t="s">
        <v>232</v>
      </c>
      <c r="C75" s="482"/>
      <c r="D75" s="21" t="s">
        <v>231</v>
      </c>
      <c r="E75" s="230">
        <v>18900</v>
      </c>
    </row>
    <row r="76" spans="2:5" ht="15.75">
      <c r="B76" s="481" t="s">
        <v>344</v>
      </c>
      <c r="C76" s="482"/>
      <c r="D76" s="21" t="s">
        <v>345</v>
      </c>
      <c r="E76" s="230">
        <f>1200+1300</f>
        <v>2500</v>
      </c>
    </row>
    <row r="77" spans="2:5" ht="15.75">
      <c r="B77" s="481" t="s">
        <v>340</v>
      </c>
      <c r="C77" s="482"/>
      <c r="D77" s="21" t="s">
        <v>341</v>
      </c>
      <c r="E77" s="230">
        <v>4200</v>
      </c>
    </row>
    <row r="78" spans="2:5" ht="15.75">
      <c r="B78" s="481" t="s">
        <v>350</v>
      </c>
      <c r="C78" s="482"/>
      <c r="D78" s="21" t="s">
        <v>351</v>
      </c>
      <c r="E78" s="230">
        <v>1</v>
      </c>
    </row>
    <row r="79" spans="2:5" ht="15.75">
      <c r="B79" s="481" t="s">
        <v>347</v>
      </c>
      <c r="C79" s="482"/>
      <c r="D79" s="21" t="s">
        <v>288</v>
      </c>
      <c r="E79" s="230">
        <v>300</v>
      </c>
    </row>
    <row r="80" spans="2:5" ht="15.75">
      <c r="B80" s="481" t="s">
        <v>234</v>
      </c>
      <c r="C80" s="482"/>
      <c r="D80" s="21" t="s">
        <v>233</v>
      </c>
      <c r="E80" s="230">
        <v>11700</v>
      </c>
    </row>
    <row r="81" spans="2:5" ht="15.75">
      <c r="B81" s="481" t="s">
        <v>152</v>
      </c>
      <c r="C81" s="482"/>
      <c r="D81" s="21" t="s">
        <v>151</v>
      </c>
      <c r="E81" s="230">
        <v>7714.92</v>
      </c>
    </row>
    <row r="82" spans="2:5" ht="15.75">
      <c r="B82" s="481" t="s">
        <v>346</v>
      </c>
      <c r="C82" s="482"/>
      <c r="D82" s="21" t="s">
        <v>150</v>
      </c>
      <c r="E82" s="230">
        <v>500</v>
      </c>
    </row>
    <row r="83" spans="2:5" ht="15.75">
      <c r="B83" s="393" t="s">
        <v>212</v>
      </c>
      <c r="C83" s="394"/>
      <c r="D83" s="51"/>
      <c r="E83" s="232">
        <f>SUM(E69:E82)</f>
        <v>434150</v>
      </c>
    </row>
    <row r="85" spans="1:2" ht="15.75">
      <c r="A85" s="229" t="s">
        <v>604</v>
      </c>
      <c r="B85" s="239">
        <v>230</v>
      </c>
    </row>
    <row r="86" spans="1:5" ht="15.75">
      <c r="A86" s="229" t="s">
        <v>609</v>
      </c>
      <c r="B86" s="480" t="s">
        <v>533</v>
      </c>
      <c r="C86" s="480"/>
      <c r="D86" s="480"/>
      <c r="E86" s="480"/>
    </row>
    <row r="87" ht="15.75">
      <c r="D87" s="43" t="s">
        <v>608</v>
      </c>
    </row>
    <row r="88" spans="2:5" ht="15.75">
      <c r="B88" s="481" t="s">
        <v>617</v>
      </c>
      <c r="C88" s="482"/>
      <c r="D88" s="21" t="s">
        <v>343</v>
      </c>
      <c r="E88" s="230">
        <v>100000</v>
      </c>
    </row>
    <row r="89" spans="2:5" ht="15.75">
      <c r="B89" s="393" t="s">
        <v>212</v>
      </c>
      <c r="C89" s="394"/>
      <c r="D89" s="51"/>
      <c r="E89" s="232">
        <f>SUM(E88:E88)</f>
        <v>100000</v>
      </c>
    </row>
    <row r="90" spans="2:5" ht="15.75">
      <c r="B90" s="235"/>
      <c r="C90" s="235"/>
      <c r="D90" s="236"/>
      <c r="E90" s="237"/>
    </row>
    <row r="91" spans="1:2" ht="15.75">
      <c r="A91" s="229" t="s">
        <v>604</v>
      </c>
      <c r="B91" s="239" t="s">
        <v>618</v>
      </c>
    </row>
    <row r="92" spans="1:5" ht="15.75">
      <c r="A92" s="229" t="s">
        <v>609</v>
      </c>
      <c r="B92" s="480" t="s">
        <v>619</v>
      </c>
      <c r="C92" s="480"/>
      <c r="D92" s="480"/>
      <c r="E92" s="480"/>
    </row>
    <row r="93" ht="15.75">
      <c r="D93" s="43" t="s">
        <v>608</v>
      </c>
    </row>
    <row r="94" spans="2:5" ht="15.75">
      <c r="B94" s="481" t="s">
        <v>248</v>
      </c>
      <c r="C94" s="482"/>
      <c r="D94" s="21" t="s">
        <v>249</v>
      </c>
      <c r="E94" s="230">
        <v>30000</v>
      </c>
    </row>
    <row r="95" spans="2:5" ht="15.75">
      <c r="B95" s="393" t="s">
        <v>212</v>
      </c>
      <c r="C95" s="394"/>
      <c r="D95" s="51"/>
      <c r="E95" s="232">
        <f>SUM(E94:E94)</f>
        <v>30000</v>
      </c>
    </row>
    <row r="97" spans="1:2" ht="15.75">
      <c r="A97" s="229" t="s">
        <v>604</v>
      </c>
      <c r="B97" s="239" t="s">
        <v>620</v>
      </c>
    </row>
    <row r="98" spans="1:5" ht="15.75">
      <c r="A98" s="229" t="s">
        <v>609</v>
      </c>
      <c r="B98" s="480" t="s">
        <v>623</v>
      </c>
      <c r="C98" s="480"/>
      <c r="D98" s="480"/>
      <c r="E98" s="480"/>
    </row>
    <row r="99" ht="31.5">
      <c r="D99" s="43" t="s">
        <v>622</v>
      </c>
    </row>
    <row r="100" spans="2:5" ht="15.75">
      <c r="B100" s="481" t="s">
        <v>621</v>
      </c>
      <c r="C100" s="482"/>
      <c r="D100" s="21">
        <v>372.3</v>
      </c>
      <c r="E100" s="230">
        <v>145000</v>
      </c>
    </row>
    <row r="101" spans="2:5" ht="15.75">
      <c r="B101" s="393" t="s">
        <v>212</v>
      </c>
      <c r="C101" s="394"/>
      <c r="D101" s="51"/>
      <c r="E101" s="232">
        <f>SUM(E100:E100)</f>
        <v>145000</v>
      </c>
    </row>
    <row r="103" spans="1:2" ht="15.75">
      <c r="A103" s="229" t="s">
        <v>604</v>
      </c>
      <c r="B103" s="239">
        <v>280</v>
      </c>
    </row>
    <row r="104" spans="1:2" ht="15.75">
      <c r="A104" s="229" t="s">
        <v>609</v>
      </c>
      <c r="B104" s="69" t="s">
        <v>627</v>
      </c>
    </row>
    <row r="106" spans="2:5" ht="15.75">
      <c r="B106" s="485" t="s">
        <v>450</v>
      </c>
      <c r="C106" s="486"/>
      <c r="D106" s="233"/>
      <c r="E106" s="230">
        <v>3000</v>
      </c>
    </row>
    <row r="107" spans="2:5" ht="15.75">
      <c r="B107" s="393" t="s">
        <v>212</v>
      </c>
      <c r="C107" s="394"/>
      <c r="D107" s="51"/>
      <c r="E107" s="232">
        <f>SUM(E106:E106)</f>
        <v>3000</v>
      </c>
    </row>
    <row r="109" spans="1:2" ht="15.75">
      <c r="A109" s="229" t="s">
        <v>604</v>
      </c>
      <c r="B109" s="239" t="s">
        <v>625</v>
      </c>
    </row>
    <row r="110" spans="1:5" ht="15.75">
      <c r="A110" s="229" t="s">
        <v>609</v>
      </c>
      <c r="B110" s="480" t="s">
        <v>626</v>
      </c>
      <c r="C110" s="480"/>
      <c r="D110" s="480"/>
      <c r="E110" s="480"/>
    </row>
    <row r="111" spans="3:6" ht="16.5" customHeight="1">
      <c r="C111" s="69" t="s">
        <v>378</v>
      </c>
      <c r="D111" s="69" t="s">
        <v>624</v>
      </c>
      <c r="E111" s="43" t="s">
        <v>608</v>
      </c>
      <c r="F111" s="69" t="s">
        <v>392</v>
      </c>
    </row>
    <row r="112" spans="2:6" ht="15.75">
      <c r="B112" s="20" t="s">
        <v>380</v>
      </c>
      <c r="C112" s="49">
        <v>1</v>
      </c>
      <c r="D112" s="49">
        <v>250000</v>
      </c>
      <c r="E112" s="21" t="s">
        <v>381</v>
      </c>
      <c r="F112" s="230">
        <f>D112*C112</f>
        <v>250000</v>
      </c>
    </row>
    <row r="113" spans="2:6" ht="15.75">
      <c r="B113" s="20" t="s">
        <v>383</v>
      </c>
      <c r="C113" s="49">
        <v>2</v>
      </c>
      <c r="D113" s="49">
        <v>30000</v>
      </c>
      <c r="E113" s="21" t="s">
        <v>384</v>
      </c>
      <c r="F113" s="230">
        <f>D113*C113</f>
        <v>60000</v>
      </c>
    </row>
    <row r="114" spans="2:6" ht="15.75">
      <c r="B114" s="20" t="s">
        <v>385</v>
      </c>
      <c r="C114" s="49">
        <v>4</v>
      </c>
      <c r="D114" s="49">
        <v>25869</v>
      </c>
      <c r="E114" s="21" t="s">
        <v>386</v>
      </c>
      <c r="F114" s="230">
        <f>D114*C114+1</f>
        <v>103477</v>
      </c>
    </row>
    <row r="115" spans="2:7" ht="15.75">
      <c r="B115" s="397" t="s">
        <v>212</v>
      </c>
      <c r="C115" s="398"/>
      <c r="D115" s="49"/>
      <c r="E115" s="49"/>
      <c r="F115" s="238">
        <f>SUM(F112:F114)</f>
        <v>413477</v>
      </c>
      <c r="G115" s="74"/>
    </row>
  </sheetData>
  <sheetProtection/>
  <mergeCells count="75">
    <mergeCell ref="B100:C100"/>
    <mergeCell ref="B101:C101"/>
    <mergeCell ref="B115:C115"/>
    <mergeCell ref="B110:E110"/>
    <mergeCell ref="B82:C82"/>
    <mergeCell ref="B83:C83"/>
    <mergeCell ref="B86:E86"/>
    <mergeCell ref="B89:C89"/>
    <mergeCell ref="B92:E92"/>
    <mergeCell ref="B95:C95"/>
    <mergeCell ref="B94:C94"/>
    <mergeCell ref="B77:C77"/>
    <mergeCell ref="B78:C78"/>
    <mergeCell ref="B79:C79"/>
    <mergeCell ref="B80:C80"/>
    <mergeCell ref="B81:C81"/>
    <mergeCell ref="B98:E98"/>
    <mergeCell ref="B10:C10"/>
    <mergeCell ref="B58:C58"/>
    <mergeCell ref="B61:E61"/>
    <mergeCell ref="B64:C64"/>
    <mergeCell ref="B67:E67"/>
    <mergeCell ref="B69:C69"/>
    <mergeCell ref="B88:C88"/>
    <mergeCell ref="B70:C70"/>
    <mergeCell ref="B71:C71"/>
    <mergeCell ref="B72:C72"/>
    <mergeCell ref="B73:C73"/>
    <mergeCell ref="B74:C74"/>
    <mergeCell ref="B75:C75"/>
    <mergeCell ref="B57:C57"/>
    <mergeCell ref="B63:C63"/>
    <mergeCell ref="B38:C38"/>
    <mergeCell ref="B21:C21"/>
    <mergeCell ref="B16:C16"/>
    <mergeCell ref="B17:C17"/>
    <mergeCell ref="B18:C18"/>
    <mergeCell ref="B19:C19"/>
    <mergeCell ref="B34:C34"/>
    <mergeCell ref="B35:C35"/>
    <mergeCell ref="B39:C39"/>
    <mergeCell ref="B76:C76"/>
    <mergeCell ref="B22:C22"/>
    <mergeCell ref="B23:C23"/>
    <mergeCell ref="B24:C24"/>
    <mergeCell ref="B36:C36"/>
    <mergeCell ref="B37:C37"/>
    <mergeCell ref="B31:C31"/>
    <mergeCell ref="B32:C32"/>
    <mergeCell ref="B33:C33"/>
    <mergeCell ref="B8:C8"/>
    <mergeCell ref="B9:C9"/>
    <mergeCell ref="B29:E29"/>
    <mergeCell ref="B7:E7"/>
    <mergeCell ref="B14:E14"/>
    <mergeCell ref="B20:C20"/>
    <mergeCell ref="B56:C56"/>
    <mergeCell ref="B40:C40"/>
    <mergeCell ref="B41:C41"/>
    <mergeCell ref="B42:C42"/>
    <mergeCell ref="B43:C43"/>
    <mergeCell ref="B44:C44"/>
    <mergeCell ref="B45:C45"/>
    <mergeCell ref="B51:C51"/>
    <mergeCell ref="B54:E54"/>
    <mergeCell ref="B106:C106"/>
    <mergeCell ref="B107:C107"/>
    <mergeCell ref="B4:D4"/>
    <mergeCell ref="B3:D3"/>
    <mergeCell ref="B2:D2"/>
    <mergeCell ref="B46:C46"/>
    <mergeCell ref="B47:C47"/>
    <mergeCell ref="B48:C48"/>
    <mergeCell ref="B49:C49"/>
    <mergeCell ref="B50:C50"/>
  </mergeCells>
  <dataValidations count="2">
    <dataValidation type="textLength" allowBlank="1" showInputMessage="1" showErrorMessage="1" promptTitle="обов'язкове" prompt="обов'язкове" sqref="D33 D82 D94 D100">
      <formula1>1</formula1>
      <formula2>200000</formula2>
    </dataValidation>
    <dataValidation type="decimal" allowBlank="1" showInputMessage="1" showErrorMessage="1" errorTitle="Очікувана вартість" error="Очікувана вартість предмета закупівлі - тілько число" sqref="D76 D78:D80 D74 E70:E82 D69:E69 D88:E88 D90:E90">
      <formula1>0</formula1>
      <formula2>1E+32</formula2>
    </dataValidation>
  </dataValidations>
  <printOptions/>
  <pageMargins left="0.1968503937007874" right="0.1968503937007874" top="0.1968503937007874" bottom="0.1968503937007874" header="0.1968503937007874"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K82"/>
  <sheetViews>
    <sheetView zoomScalePageLayoutView="0" workbookViewId="0" topLeftCell="A19">
      <selection activeCell="I10" sqref="I10"/>
    </sheetView>
  </sheetViews>
  <sheetFormatPr defaultColWidth="9.140625" defaultRowHeight="15"/>
  <cols>
    <col min="1" max="1" width="4.00390625" style="0" bestFit="1" customWidth="1"/>
    <col min="2" max="2" width="110.57421875" style="0" customWidth="1"/>
    <col min="3" max="3" width="9.421875" style="0" bestFit="1" customWidth="1"/>
    <col min="4" max="4" width="11.28125" style="0" bestFit="1" customWidth="1"/>
    <col min="5" max="5" width="35.7109375" style="0" bestFit="1" customWidth="1"/>
    <col min="6" max="6" width="5.57421875" style="0" bestFit="1" customWidth="1"/>
    <col min="7" max="7" width="39.00390625" style="0" bestFit="1" customWidth="1"/>
    <col min="8" max="8" width="11.421875" style="0" bestFit="1" customWidth="1"/>
    <col min="9" max="9" width="14.28125" style="0" bestFit="1" customWidth="1"/>
    <col min="10" max="10" width="7.57421875" style="0" bestFit="1" customWidth="1"/>
    <col min="11" max="11" width="5.57421875" style="0" bestFit="1" customWidth="1"/>
  </cols>
  <sheetData>
    <row r="1" spans="2:10" ht="15">
      <c r="B1" s="399" t="s">
        <v>149</v>
      </c>
      <c r="C1" s="399"/>
      <c r="D1" s="399"/>
      <c r="E1" s="399"/>
      <c r="F1" s="399"/>
      <c r="G1" s="399"/>
      <c r="H1" s="399"/>
      <c r="I1" s="399"/>
      <c r="J1" s="399"/>
    </row>
    <row r="2" spans="2:11" ht="75">
      <c r="B2" s="13" t="s">
        <v>137</v>
      </c>
      <c r="C2" s="14" t="s">
        <v>138</v>
      </c>
      <c r="D2" s="15" t="s">
        <v>139</v>
      </c>
      <c r="E2" s="16" t="s">
        <v>140</v>
      </c>
      <c r="F2" s="17" t="s">
        <v>141</v>
      </c>
      <c r="G2" s="17" t="s">
        <v>142</v>
      </c>
      <c r="H2" s="18" t="s">
        <v>143</v>
      </c>
      <c r="I2" s="14" t="s">
        <v>144</v>
      </c>
      <c r="J2" s="19" t="s">
        <v>145</v>
      </c>
      <c r="K2" s="14" t="s">
        <v>146</v>
      </c>
    </row>
    <row r="3" spans="1:11" ht="31.5">
      <c r="A3">
        <v>1</v>
      </c>
      <c r="B3" s="20" t="s">
        <v>157</v>
      </c>
      <c r="C3" s="21" t="s">
        <v>147</v>
      </c>
      <c r="D3" s="22">
        <v>331</v>
      </c>
      <c r="E3" s="21" t="s">
        <v>256</v>
      </c>
      <c r="F3" s="21">
        <v>2018</v>
      </c>
      <c r="G3" s="21" t="s">
        <v>148</v>
      </c>
      <c r="H3" s="23">
        <v>43221</v>
      </c>
      <c r="I3" s="21" t="s">
        <v>150</v>
      </c>
      <c r="J3" s="24">
        <v>2240</v>
      </c>
      <c r="K3" s="21">
        <v>2282</v>
      </c>
    </row>
    <row r="4" spans="1:11" ht="47.25">
      <c r="A4">
        <v>1</v>
      </c>
      <c r="B4" s="20" t="s">
        <v>152</v>
      </c>
      <c r="C4" s="21" t="s">
        <v>147</v>
      </c>
      <c r="D4" s="22">
        <f>6000-331</f>
        <v>5669</v>
      </c>
      <c r="E4" s="21" t="s">
        <v>255</v>
      </c>
      <c r="F4" s="21">
        <v>2018</v>
      </c>
      <c r="G4" s="21" t="s">
        <v>148</v>
      </c>
      <c r="H4" s="23">
        <v>43221</v>
      </c>
      <c r="I4" s="21" t="s">
        <v>151</v>
      </c>
      <c r="J4" s="24">
        <v>2240</v>
      </c>
      <c r="K4" s="21">
        <v>2282</v>
      </c>
    </row>
    <row r="5" spans="1:11" ht="31.5">
      <c r="A5">
        <v>2</v>
      </c>
      <c r="B5" s="20" t="s">
        <v>156</v>
      </c>
      <c r="C5" s="21" t="s">
        <v>147</v>
      </c>
      <c r="D5" s="22">
        <v>3350</v>
      </c>
      <c r="E5" s="21" t="s">
        <v>250</v>
      </c>
      <c r="F5" s="21">
        <v>2018</v>
      </c>
      <c r="G5" s="21" t="s">
        <v>148</v>
      </c>
      <c r="H5" s="23">
        <v>43221</v>
      </c>
      <c r="I5" s="21" t="s">
        <v>155</v>
      </c>
      <c r="J5" s="24">
        <v>2240</v>
      </c>
      <c r="K5" s="21">
        <v>2282</v>
      </c>
    </row>
    <row r="6" spans="1:11" ht="47.25">
      <c r="A6">
        <v>2.4</v>
      </c>
      <c r="B6" s="20" t="s">
        <v>154</v>
      </c>
      <c r="C6" s="21" t="s">
        <v>147</v>
      </c>
      <c r="D6" s="22">
        <f>5592-3350+5000</f>
        <v>7242</v>
      </c>
      <c r="E6" s="21" t="s">
        <v>262</v>
      </c>
      <c r="F6" s="21">
        <v>2018</v>
      </c>
      <c r="G6" s="21" t="s">
        <v>148</v>
      </c>
      <c r="H6" s="23">
        <v>43221</v>
      </c>
      <c r="I6" s="21" t="s">
        <v>153</v>
      </c>
      <c r="J6" s="24">
        <v>2240</v>
      </c>
      <c r="K6" s="21">
        <v>2282</v>
      </c>
    </row>
    <row r="7" spans="1:11" ht="47.25">
      <c r="A7">
        <v>1</v>
      </c>
      <c r="B7" s="20" t="s">
        <v>181</v>
      </c>
      <c r="C7" s="21" t="s">
        <v>147</v>
      </c>
      <c r="D7" s="22">
        <f>1000+3000</f>
        <v>4000</v>
      </c>
      <c r="E7" s="21" t="s">
        <v>252</v>
      </c>
      <c r="F7" s="21">
        <v>2018</v>
      </c>
      <c r="G7" s="21" t="s">
        <v>148</v>
      </c>
      <c r="H7" s="23">
        <v>43221</v>
      </c>
      <c r="I7" s="21" t="s">
        <v>180</v>
      </c>
      <c r="J7" s="24">
        <v>2210</v>
      </c>
      <c r="K7" s="21">
        <v>2282</v>
      </c>
    </row>
    <row r="8" spans="1:11" ht="47.25">
      <c r="A8">
        <v>1</v>
      </c>
      <c r="B8" s="20" t="s">
        <v>189</v>
      </c>
      <c r="C8" s="21" t="s">
        <v>147</v>
      </c>
      <c r="D8" s="22">
        <f>20000-3000</f>
        <v>17000</v>
      </c>
      <c r="E8" s="21" t="s">
        <v>254</v>
      </c>
      <c r="F8" s="21">
        <v>2018</v>
      </c>
      <c r="G8" s="21" t="s">
        <v>148</v>
      </c>
      <c r="H8" s="23">
        <v>43221</v>
      </c>
      <c r="I8" s="21" t="s">
        <v>188</v>
      </c>
      <c r="J8" s="24">
        <v>2210</v>
      </c>
      <c r="K8" s="21">
        <v>2282</v>
      </c>
    </row>
    <row r="9" spans="1:11" ht="47.25">
      <c r="A9">
        <v>3</v>
      </c>
      <c r="B9" s="20" t="s">
        <v>161</v>
      </c>
      <c r="C9" s="21" t="s">
        <v>147</v>
      </c>
      <c r="D9" s="22">
        <f>2000+2160</f>
        <v>4160</v>
      </c>
      <c r="E9" s="21" t="s">
        <v>259</v>
      </c>
      <c r="F9" s="21">
        <v>2018</v>
      </c>
      <c r="G9" s="21" t="s">
        <v>148</v>
      </c>
      <c r="H9" s="23">
        <v>43221</v>
      </c>
      <c r="I9" s="21" t="s">
        <v>160</v>
      </c>
      <c r="J9" s="24">
        <v>2210</v>
      </c>
      <c r="K9" s="21">
        <v>2282</v>
      </c>
    </row>
    <row r="10" spans="1:11" ht="47.25">
      <c r="A10">
        <v>3.4</v>
      </c>
      <c r="B10" s="20" t="s">
        <v>159</v>
      </c>
      <c r="C10" s="21" t="s">
        <v>147</v>
      </c>
      <c r="D10" s="22">
        <f>30000-2160-7858.55</f>
        <v>19981.45</v>
      </c>
      <c r="E10" s="21" t="s">
        <v>251</v>
      </c>
      <c r="F10" s="21">
        <v>2018</v>
      </c>
      <c r="G10" s="21" t="s">
        <v>148</v>
      </c>
      <c r="H10" s="23">
        <v>43221</v>
      </c>
      <c r="I10" s="21" t="s">
        <v>158</v>
      </c>
      <c r="J10" s="24">
        <v>2210</v>
      </c>
      <c r="K10" s="21">
        <v>2282</v>
      </c>
    </row>
    <row r="11" spans="1:11" ht="31.5">
      <c r="A11">
        <v>4</v>
      </c>
      <c r="B11" s="20" t="s">
        <v>243</v>
      </c>
      <c r="C11" s="21" t="s">
        <v>147</v>
      </c>
      <c r="D11" s="22">
        <v>10000</v>
      </c>
      <c r="E11" s="21" t="s">
        <v>258</v>
      </c>
      <c r="F11" s="21">
        <v>2018</v>
      </c>
      <c r="G11" s="21" t="s">
        <v>148</v>
      </c>
      <c r="H11" s="23">
        <v>43221</v>
      </c>
      <c r="I11" s="21" t="s">
        <v>244</v>
      </c>
      <c r="J11" s="24">
        <v>2210</v>
      </c>
      <c r="K11" s="21">
        <v>2282</v>
      </c>
    </row>
    <row r="12" spans="1:11" ht="47.25">
      <c r="A12">
        <v>4</v>
      </c>
      <c r="B12" s="20" t="s">
        <v>245</v>
      </c>
      <c r="C12" s="21" t="s">
        <v>147</v>
      </c>
      <c r="D12" s="22">
        <f>7126-2046-595.45</f>
        <v>4484.55</v>
      </c>
      <c r="E12" s="21" t="s">
        <v>253</v>
      </c>
      <c r="F12" s="21">
        <v>2018</v>
      </c>
      <c r="G12" s="21" t="s">
        <v>148</v>
      </c>
      <c r="H12" s="23">
        <v>43221</v>
      </c>
      <c r="I12" s="21" t="s">
        <v>194</v>
      </c>
      <c r="J12" s="24">
        <v>2210</v>
      </c>
      <c r="K12" s="21">
        <v>2282</v>
      </c>
    </row>
    <row r="13" spans="1:11" ht="47.25">
      <c r="A13">
        <v>4</v>
      </c>
      <c r="B13" s="20" t="s">
        <v>246</v>
      </c>
      <c r="C13" s="21" t="s">
        <v>147</v>
      </c>
      <c r="D13" s="22">
        <f>10000-1000</f>
        <v>9000</v>
      </c>
      <c r="E13" s="21" t="s">
        <v>263</v>
      </c>
      <c r="F13" s="21">
        <v>2018</v>
      </c>
      <c r="G13" s="21" t="s">
        <v>148</v>
      </c>
      <c r="H13" s="23">
        <v>43221</v>
      </c>
      <c r="I13" s="21" t="s">
        <v>199</v>
      </c>
      <c r="J13" s="24">
        <v>2210</v>
      </c>
      <c r="K13" s="21">
        <v>2282</v>
      </c>
    </row>
    <row r="14" spans="1:11" ht="47.25">
      <c r="A14">
        <v>4</v>
      </c>
      <c r="B14" s="20" t="s">
        <v>203</v>
      </c>
      <c r="C14" s="21" t="s">
        <v>147</v>
      </c>
      <c r="D14" s="22">
        <f>3000-1000</f>
        <v>2000</v>
      </c>
      <c r="E14" s="21" t="s">
        <v>257</v>
      </c>
      <c r="F14" s="21">
        <v>2018</v>
      </c>
      <c r="G14" s="21" t="s">
        <v>148</v>
      </c>
      <c r="H14" s="23">
        <v>43221</v>
      </c>
      <c r="I14" s="21" t="s">
        <v>202</v>
      </c>
      <c r="J14" s="24">
        <v>2210</v>
      </c>
      <c r="K14" s="21">
        <v>2282</v>
      </c>
    </row>
    <row r="15" spans="1:11" ht="47.25">
      <c r="A15">
        <v>4</v>
      </c>
      <c r="B15" s="20" t="s">
        <v>247</v>
      </c>
      <c r="C15" s="21" t="s">
        <v>147</v>
      </c>
      <c r="D15" s="22">
        <f>5000-2500</f>
        <v>2500</v>
      </c>
      <c r="E15" s="21" t="s">
        <v>260</v>
      </c>
      <c r="F15" s="21">
        <v>2018</v>
      </c>
      <c r="G15" s="21" t="s">
        <v>148</v>
      </c>
      <c r="H15" s="23">
        <v>43221</v>
      </c>
      <c r="I15" s="21" t="s">
        <v>204</v>
      </c>
      <c r="J15" s="24">
        <v>2210</v>
      </c>
      <c r="K15" s="21">
        <v>2282</v>
      </c>
    </row>
    <row r="16" spans="2:11" ht="15.75">
      <c r="B16" s="20"/>
      <c r="C16" s="21"/>
      <c r="D16" s="22"/>
      <c r="E16" s="21"/>
      <c r="F16" s="21"/>
      <c r="G16" s="21"/>
      <c r="H16" s="23"/>
      <c r="I16" s="21"/>
      <c r="J16" s="24"/>
      <c r="K16" s="21"/>
    </row>
    <row r="17" spans="1:11" ht="47.25">
      <c r="A17">
        <v>4</v>
      </c>
      <c r="B17" s="20" t="s">
        <v>248</v>
      </c>
      <c r="C17" s="21" t="s">
        <v>147</v>
      </c>
      <c r="D17" s="22">
        <v>552</v>
      </c>
      <c r="E17" s="21" t="s">
        <v>261</v>
      </c>
      <c r="F17" s="21"/>
      <c r="G17" s="21" t="s">
        <v>148</v>
      </c>
      <c r="H17" s="23">
        <v>43221</v>
      </c>
      <c r="I17" s="21" t="s">
        <v>249</v>
      </c>
      <c r="J17" s="24">
        <v>2282</v>
      </c>
      <c r="K17" s="21">
        <v>2282</v>
      </c>
    </row>
    <row r="18" spans="2:10" ht="15">
      <c r="B18" s="399" t="s">
        <v>264</v>
      </c>
      <c r="C18" s="399"/>
      <c r="D18" s="399"/>
      <c r="E18" s="399"/>
      <c r="F18" s="399"/>
      <c r="G18" s="399"/>
      <c r="H18" s="399"/>
      <c r="I18" s="399"/>
      <c r="J18" s="399"/>
    </row>
    <row r="19" spans="1:11" ht="47.25">
      <c r="A19">
        <v>5</v>
      </c>
      <c r="B19" s="20" t="s">
        <v>154</v>
      </c>
      <c r="C19" s="21" t="s">
        <v>147</v>
      </c>
      <c r="D19" s="22">
        <f>5592-3350+5000+1182.48</f>
        <v>8424.48</v>
      </c>
      <c r="E19" s="21" t="s">
        <v>285</v>
      </c>
      <c r="F19" s="21">
        <v>2018</v>
      </c>
      <c r="G19" s="21" t="s">
        <v>148</v>
      </c>
      <c r="H19" s="23">
        <v>43250</v>
      </c>
      <c r="I19" s="21" t="s">
        <v>153</v>
      </c>
      <c r="J19" s="24">
        <v>2240</v>
      </c>
      <c r="K19" s="21">
        <v>2282</v>
      </c>
    </row>
    <row r="20" spans="1:11" ht="47.25">
      <c r="A20">
        <v>5</v>
      </c>
      <c r="B20" s="20" t="s">
        <v>152</v>
      </c>
      <c r="C20" s="21" t="s">
        <v>147</v>
      </c>
      <c r="D20" s="22">
        <f>6000-331+1204.62</f>
        <v>6873.62</v>
      </c>
      <c r="E20" s="21" t="s">
        <v>278</v>
      </c>
      <c r="F20" s="21">
        <v>2018</v>
      </c>
      <c r="G20" s="21" t="s">
        <v>148</v>
      </c>
      <c r="H20" s="23">
        <v>43250</v>
      </c>
      <c r="I20" s="21" t="s">
        <v>151</v>
      </c>
      <c r="J20" s="24">
        <v>2240</v>
      </c>
      <c r="K20" s="21">
        <v>2282</v>
      </c>
    </row>
    <row r="21" spans="1:11" ht="47.25">
      <c r="A21">
        <v>5</v>
      </c>
      <c r="B21" s="20" t="s">
        <v>234</v>
      </c>
      <c r="C21" s="21" t="s">
        <v>147</v>
      </c>
      <c r="D21" s="22">
        <f>11700-387.1</f>
        <v>11312.9</v>
      </c>
      <c r="E21" s="21" t="s">
        <v>284</v>
      </c>
      <c r="F21" s="21">
        <v>2018</v>
      </c>
      <c r="G21" s="21" t="s">
        <v>148</v>
      </c>
      <c r="H21" s="23">
        <v>43250</v>
      </c>
      <c r="I21" s="21" t="s">
        <v>233</v>
      </c>
      <c r="J21" s="24">
        <v>2240</v>
      </c>
      <c r="K21" s="21">
        <v>2282</v>
      </c>
    </row>
    <row r="22" spans="1:11" ht="47.25">
      <c r="A22">
        <v>5</v>
      </c>
      <c r="B22" s="20" t="s">
        <v>230</v>
      </c>
      <c r="C22" s="21" t="s">
        <v>147</v>
      </c>
      <c r="D22" s="22">
        <f>2000-2000</f>
        <v>0</v>
      </c>
      <c r="E22" s="21" t="s">
        <v>279</v>
      </c>
      <c r="F22" s="21">
        <v>2018</v>
      </c>
      <c r="G22" s="21" t="s">
        <v>148</v>
      </c>
      <c r="H22" s="23">
        <v>43250</v>
      </c>
      <c r="I22" s="21" t="s">
        <v>229</v>
      </c>
      <c r="J22" s="24">
        <v>2240</v>
      </c>
      <c r="K22" s="21">
        <v>2282</v>
      </c>
    </row>
    <row r="23" spans="1:11" ht="47.25">
      <c r="A23">
        <v>5</v>
      </c>
      <c r="B23" s="20" t="s">
        <v>245</v>
      </c>
      <c r="C23" s="21" t="s">
        <v>147</v>
      </c>
      <c r="D23" s="22">
        <f>7126-2046-595.45+595.45</f>
        <v>5080</v>
      </c>
      <c r="E23" s="21" t="s">
        <v>286</v>
      </c>
      <c r="F23" s="21">
        <v>2018</v>
      </c>
      <c r="G23" s="21" t="s">
        <v>148</v>
      </c>
      <c r="H23" s="23">
        <v>43250</v>
      </c>
      <c r="I23" s="21" t="s">
        <v>194</v>
      </c>
      <c r="J23" s="24">
        <v>2210</v>
      </c>
      <c r="K23" s="21">
        <v>2282</v>
      </c>
    </row>
    <row r="24" spans="1:11" ht="47.25">
      <c r="A24">
        <v>5</v>
      </c>
      <c r="B24" s="20" t="s">
        <v>189</v>
      </c>
      <c r="C24" s="21" t="s">
        <v>147</v>
      </c>
      <c r="D24" s="22">
        <f>20000-3000-970.45</f>
        <v>16029.55</v>
      </c>
      <c r="E24" s="21" t="s">
        <v>280</v>
      </c>
      <c r="F24" s="21">
        <v>2018</v>
      </c>
      <c r="G24" s="21" t="s">
        <v>148</v>
      </c>
      <c r="H24" s="23">
        <v>43250</v>
      </c>
      <c r="I24" s="21" t="s">
        <v>188</v>
      </c>
      <c r="J24" s="24">
        <v>2210</v>
      </c>
      <c r="K24" s="21">
        <v>2282</v>
      </c>
    </row>
    <row r="25" spans="1:11" ht="31.5">
      <c r="A25">
        <v>5</v>
      </c>
      <c r="B25" s="20" t="s">
        <v>185</v>
      </c>
      <c r="C25" s="21" t="s">
        <v>147</v>
      </c>
      <c r="D25" s="22">
        <v>375</v>
      </c>
      <c r="E25" s="21" t="s">
        <v>283</v>
      </c>
      <c r="F25" s="21">
        <v>2018</v>
      </c>
      <c r="G25" s="21" t="s">
        <v>148</v>
      </c>
      <c r="H25" s="23">
        <v>43250</v>
      </c>
      <c r="I25" s="21" t="s">
        <v>184</v>
      </c>
      <c r="J25" s="24">
        <v>2210</v>
      </c>
      <c r="K25" s="21">
        <v>2282</v>
      </c>
    </row>
    <row r="26" spans="1:11" ht="31.5">
      <c r="A26">
        <v>5</v>
      </c>
      <c r="B26" s="20" t="s">
        <v>220</v>
      </c>
      <c r="C26" s="21" t="s">
        <v>147</v>
      </c>
      <c r="D26" s="22">
        <v>509.2</v>
      </c>
      <c r="E26" s="21" t="s">
        <v>287</v>
      </c>
      <c r="F26" s="21">
        <v>2018</v>
      </c>
      <c r="G26" s="21" t="s">
        <v>148</v>
      </c>
      <c r="H26" s="23">
        <v>43250</v>
      </c>
      <c r="I26" s="21" t="s">
        <v>219</v>
      </c>
      <c r="J26" s="24">
        <v>2220</v>
      </c>
      <c r="K26" s="21">
        <v>2282</v>
      </c>
    </row>
    <row r="27" spans="1:11" ht="47.25">
      <c r="A27">
        <v>5</v>
      </c>
      <c r="B27" s="20" t="s">
        <v>224</v>
      </c>
      <c r="C27" s="21" t="s">
        <v>147</v>
      </c>
      <c r="D27" s="22">
        <f>68000-509.2</f>
        <v>67490.8</v>
      </c>
      <c r="E27" s="21" t="s">
        <v>281</v>
      </c>
      <c r="F27" s="21">
        <v>2018</v>
      </c>
      <c r="G27" s="21" t="s">
        <v>148</v>
      </c>
      <c r="H27" s="23">
        <v>43250</v>
      </c>
      <c r="I27" s="21" t="s">
        <v>222</v>
      </c>
      <c r="J27" s="24">
        <v>2220</v>
      </c>
      <c r="K27" s="21">
        <v>2282</v>
      </c>
    </row>
    <row r="28" spans="1:11" ht="47.25">
      <c r="A28">
        <v>5</v>
      </c>
      <c r="B28" s="20" t="s">
        <v>236</v>
      </c>
      <c r="C28" s="21" t="s">
        <v>147</v>
      </c>
      <c r="D28" s="22">
        <f>820000-30000</f>
        <v>790000</v>
      </c>
      <c r="E28" s="21" t="s">
        <v>282</v>
      </c>
      <c r="F28" s="21">
        <v>2018</v>
      </c>
      <c r="G28" s="21" t="s">
        <v>65</v>
      </c>
      <c r="H28" s="23">
        <v>43250</v>
      </c>
      <c r="I28" s="21" t="s">
        <v>235</v>
      </c>
      <c r="J28" s="24">
        <v>2273</v>
      </c>
      <c r="K28" s="21">
        <v>2273</v>
      </c>
    </row>
    <row r="29" spans="1:11" ht="47.25">
      <c r="A29">
        <v>6</v>
      </c>
      <c r="B29" s="25" t="s">
        <v>265</v>
      </c>
      <c r="C29" s="21" t="s">
        <v>147</v>
      </c>
      <c r="D29" s="22">
        <f>4000+643</f>
        <v>4643</v>
      </c>
      <c r="E29" s="21" t="s">
        <v>268</v>
      </c>
      <c r="F29" s="21">
        <v>2018</v>
      </c>
      <c r="G29" s="21" t="s">
        <v>148</v>
      </c>
      <c r="H29" s="23">
        <v>43259</v>
      </c>
      <c r="I29" s="21" t="s">
        <v>214</v>
      </c>
      <c r="J29" s="24">
        <v>2220</v>
      </c>
      <c r="K29" s="21">
        <v>2282</v>
      </c>
    </row>
    <row r="30" spans="1:11" ht="47.25">
      <c r="A30">
        <v>6</v>
      </c>
      <c r="B30" s="20" t="s">
        <v>220</v>
      </c>
      <c r="C30" s="21" t="s">
        <v>147</v>
      </c>
      <c r="D30" s="22">
        <f>509.2+480</f>
        <v>989.2</v>
      </c>
      <c r="E30" s="21" t="s">
        <v>272</v>
      </c>
      <c r="F30" s="21">
        <v>2018</v>
      </c>
      <c r="G30" s="21" t="s">
        <v>148</v>
      </c>
      <c r="H30" s="23">
        <v>43259</v>
      </c>
      <c r="I30" s="21" t="s">
        <v>219</v>
      </c>
      <c r="J30" s="24">
        <v>2220</v>
      </c>
      <c r="K30" s="21">
        <v>2282</v>
      </c>
    </row>
    <row r="31" spans="1:11" ht="47.25">
      <c r="A31">
        <v>6</v>
      </c>
      <c r="B31" s="20" t="s">
        <v>224</v>
      </c>
      <c r="C31" s="21" t="s">
        <v>147</v>
      </c>
      <c r="D31" s="22">
        <f>68000-509.2+11832.39</f>
        <v>79323.19</v>
      </c>
      <c r="E31" s="21" t="s">
        <v>271</v>
      </c>
      <c r="F31" s="21">
        <v>2018</v>
      </c>
      <c r="G31" s="21" t="s">
        <v>148</v>
      </c>
      <c r="H31" s="23">
        <v>43259</v>
      </c>
      <c r="I31" s="21" t="s">
        <v>222</v>
      </c>
      <c r="J31" s="24">
        <v>2220</v>
      </c>
      <c r="K31" s="21">
        <v>2282</v>
      </c>
    </row>
    <row r="32" spans="1:11" ht="47.25">
      <c r="A32">
        <v>6</v>
      </c>
      <c r="B32" s="20" t="s">
        <v>218</v>
      </c>
      <c r="C32" s="21" t="s">
        <v>147</v>
      </c>
      <c r="D32" s="22">
        <f>2000-1053.2</f>
        <v>946.8</v>
      </c>
      <c r="E32" s="21" t="s">
        <v>270</v>
      </c>
      <c r="F32" s="21">
        <v>2018</v>
      </c>
      <c r="G32" s="21" t="s">
        <v>148</v>
      </c>
      <c r="H32" s="23">
        <v>43259</v>
      </c>
      <c r="I32" s="21" t="s">
        <v>217</v>
      </c>
      <c r="J32" s="24">
        <v>2220</v>
      </c>
      <c r="K32" s="21">
        <v>2282</v>
      </c>
    </row>
    <row r="33" spans="1:11" ht="220.5">
      <c r="A33">
        <v>6</v>
      </c>
      <c r="B33" s="20" t="s">
        <v>267</v>
      </c>
      <c r="C33" s="21" t="s">
        <v>147</v>
      </c>
      <c r="D33" s="22">
        <f>60000-11902.19</f>
        <v>48097.81</v>
      </c>
      <c r="E33" s="21" t="s">
        <v>269</v>
      </c>
      <c r="F33" s="21">
        <v>2018</v>
      </c>
      <c r="G33" s="21" t="s">
        <v>148</v>
      </c>
      <c r="H33" s="23">
        <v>43259</v>
      </c>
      <c r="I33" s="21" t="s">
        <v>266</v>
      </c>
      <c r="J33" s="24">
        <v>2220</v>
      </c>
      <c r="K33" s="21">
        <v>2282</v>
      </c>
    </row>
    <row r="34" spans="2:11" s="62" customFormat="1" ht="15.75">
      <c r="B34" s="63"/>
      <c r="C34" s="64"/>
      <c r="D34" s="65"/>
      <c r="E34" s="64"/>
      <c r="F34" s="64"/>
      <c r="G34" s="64"/>
      <c r="H34" s="66"/>
      <c r="I34" s="64"/>
      <c r="J34" s="64"/>
      <c r="K34" s="64"/>
    </row>
    <row r="35" spans="1:11" ht="47.25">
      <c r="A35">
        <v>7</v>
      </c>
      <c r="B35" s="20" t="s">
        <v>248</v>
      </c>
      <c r="C35" s="21" t="s">
        <v>147</v>
      </c>
      <c r="D35" s="22">
        <f>552+650</f>
        <v>1202</v>
      </c>
      <c r="E35" s="21" t="s">
        <v>306</v>
      </c>
      <c r="F35" s="21"/>
      <c r="G35" s="21" t="s">
        <v>148</v>
      </c>
      <c r="H35" s="23">
        <v>43278</v>
      </c>
      <c r="I35" s="21" t="s">
        <v>249</v>
      </c>
      <c r="J35" s="24">
        <v>2282</v>
      </c>
      <c r="K35" s="21">
        <v>2282</v>
      </c>
    </row>
    <row r="36" spans="1:11" ht="47.25">
      <c r="A36">
        <v>7</v>
      </c>
      <c r="B36" s="20" t="s">
        <v>273</v>
      </c>
      <c r="C36" s="21" t="s">
        <v>147</v>
      </c>
      <c r="D36" s="22">
        <f>198000-150</f>
        <v>197850</v>
      </c>
      <c r="E36" s="21" t="s">
        <v>292</v>
      </c>
      <c r="F36" s="21">
        <v>2018</v>
      </c>
      <c r="G36" s="21" t="s">
        <v>148</v>
      </c>
      <c r="H36" s="23">
        <v>43278</v>
      </c>
      <c r="I36" s="21" t="s">
        <v>164</v>
      </c>
      <c r="J36" s="24">
        <v>2210</v>
      </c>
      <c r="K36" s="21">
        <v>2282</v>
      </c>
    </row>
    <row r="37" spans="1:11" ht="47.25">
      <c r="A37">
        <v>7</v>
      </c>
      <c r="B37" s="20" t="s">
        <v>274</v>
      </c>
      <c r="C37" s="21" t="s">
        <v>147</v>
      </c>
      <c r="D37" s="22">
        <f>2000-2000</f>
        <v>0</v>
      </c>
      <c r="E37" s="21" t="s">
        <v>315</v>
      </c>
      <c r="F37" s="21">
        <v>2018</v>
      </c>
      <c r="G37" s="21" t="s">
        <v>148</v>
      </c>
      <c r="H37" s="23">
        <v>43278</v>
      </c>
      <c r="I37" s="21" t="s">
        <v>167</v>
      </c>
      <c r="J37" s="24">
        <v>2210</v>
      </c>
      <c r="K37" s="21">
        <v>2282</v>
      </c>
    </row>
    <row r="38" spans="1:11" ht="47.25">
      <c r="A38">
        <v>7</v>
      </c>
      <c r="B38" s="20" t="s">
        <v>276</v>
      </c>
      <c r="C38" s="21" t="s">
        <v>147</v>
      </c>
      <c r="D38" s="22">
        <f>500-4</f>
        <v>496</v>
      </c>
      <c r="E38" s="21" t="s">
        <v>305</v>
      </c>
      <c r="F38" s="21">
        <v>2018</v>
      </c>
      <c r="G38" s="21" t="s">
        <v>148</v>
      </c>
      <c r="H38" s="23">
        <v>43278</v>
      </c>
      <c r="I38" s="21" t="s">
        <v>170</v>
      </c>
      <c r="J38" s="24">
        <v>2210</v>
      </c>
      <c r="K38" s="21">
        <v>2282</v>
      </c>
    </row>
    <row r="39" spans="1:11" ht="47.25">
      <c r="A39">
        <v>7</v>
      </c>
      <c r="B39" s="20" t="s">
        <v>181</v>
      </c>
      <c r="C39" s="21" t="s">
        <v>147</v>
      </c>
      <c r="D39" s="22">
        <f>1000+3000-34.2</f>
        <v>3965.8</v>
      </c>
      <c r="E39" s="21" t="s">
        <v>304</v>
      </c>
      <c r="F39" s="21">
        <v>2018</v>
      </c>
      <c r="G39" s="21" t="s">
        <v>148</v>
      </c>
      <c r="H39" s="23">
        <v>43278</v>
      </c>
      <c r="I39" s="21" t="s">
        <v>180</v>
      </c>
      <c r="J39" s="24">
        <v>2210</v>
      </c>
      <c r="K39" s="21">
        <v>2282</v>
      </c>
    </row>
    <row r="40" spans="1:11" ht="47.25">
      <c r="A40">
        <v>7</v>
      </c>
      <c r="B40" s="20" t="s">
        <v>183</v>
      </c>
      <c r="C40" s="21" t="s">
        <v>147</v>
      </c>
      <c r="D40" s="22">
        <f>1000-1000</f>
        <v>0</v>
      </c>
      <c r="E40" s="21" t="s">
        <v>295</v>
      </c>
      <c r="F40" s="21">
        <v>2018</v>
      </c>
      <c r="G40" s="21" t="s">
        <v>148</v>
      </c>
      <c r="H40" s="23">
        <v>43278</v>
      </c>
      <c r="I40" s="21" t="s">
        <v>182</v>
      </c>
      <c r="J40" s="24">
        <v>2210</v>
      </c>
      <c r="K40" s="21">
        <v>2282</v>
      </c>
    </row>
    <row r="41" spans="1:11" ht="47.25">
      <c r="A41">
        <v>7</v>
      </c>
      <c r="B41" s="20" t="s">
        <v>191</v>
      </c>
      <c r="C41" s="21" t="s">
        <v>147</v>
      </c>
      <c r="D41" s="22">
        <f>1000-1000</f>
        <v>0</v>
      </c>
      <c r="E41" s="21" t="s">
        <v>300</v>
      </c>
      <c r="F41" s="21">
        <v>2018</v>
      </c>
      <c r="G41" s="21" t="s">
        <v>148</v>
      </c>
      <c r="H41" s="23">
        <v>43278</v>
      </c>
      <c r="I41" s="21" t="s">
        <v>190</v>
      </c>
      <c r="J41" s="24">
        <v>2210</v>
      </c>
      <c r="K41" s="21">
        <v>2282</v>
      </c>
    </row>
    <row r="42" spans="1:11" ht="47.25">
      <c r="A42">
        <v>7</v>
      </c>
      <c r="B42" s="20" t="s">
        <v>193</v>
      </c>
      <c r="C42" s="21" t="s">
        <v>147</v>
      </c>
      <c r="D42" s="22">
        <f>2000-1700</f>
        <v>300</v>
      </c>
      <c r="E42" s="21" t="s">
        <v>311</v>
      </c>
      <c r="F42" s="21">
        <v>2018</v>
      </c>
      <c r="G42" s="21" t="s">
        <v>148</v>
      </c>
      <c r="H42" s="23">
        <v>43278</v>
      </c>
      <c r="I42" s="21" t="s">
        <v>192</v>
      </c>
      <c r="J42" s="24">
        <v>2210</v>
      </c>
      <c r="K42" s="21">
        <v>2282</v>
      </c>
    </row>
    <row r="43" spans="1:11" ht="47.25">
      <c r="A43">
        <v>7</v>
      </c>
      <c r="B43" s="20" t="s">
        <v>198</v>
      </c>
      <c r="C43" s="21" t="s">
        <v>147</v>
      </c>
      <c r="D43" s="22">
        <f>3000-780</f>
        <v>2220</v>
      </c>
      <c r="E43" s="21" t="s">
        <v>301</v>
      </c>
      <c r="F43" s="21">
        <v>2018</v>
      </c>
      <c r="G43" s="21" t="s">
        <v>148</v>
      </c>
      <c r="H43" s="23">
        <v>43278</v>
      </c>
      <c r="I43" s="21" t="s">
        <v>197</v>
      </c>
      <c r="J43" s="24">
        <v>2210</v>
      </c>
      <c r="K43" s="21">
        <v>2282</v>
      </c>
    </row>
    <row r="44" spans="1:11" ht="47.25">
      <c r="A44">
        <v>7</v>
      </c>
      <c r="B44" s="20" t="s">
        <v>246</v>
      </c>
      <c r="C44" s="21" t="s">
        <v>147</v>
      </c>
      <c r="D44" s="22">
        <f>10000-1000-2181.48</f>
        <v>6818.52</v>
      </c>
      <c r="E44" s="21" t="s">
        <v>291</v>
      </c>
      <c r="F44" s="21">
        <v>2018</v>
      </c>
      <c r="G44" s="21" t="s">
        <v>148</v>
      </c>
      <c r="H44" s="23">
        <v>43278</v>
      </c>
      <c r="I44" s="21" t="s">
        <v>199</v>
      </c>
      <c r="J44" s="24">
        <v>2210</v>
      </c>
      <c r="K44" s="21">
        <v>2282</v>
      </c>
    </row>
    <row r="45" spans="1:11" ht="47.25">
      <c r="A45">
        <v>7</v>
      </c>
      <c r="B45" s="20" t="s">
        <v>203</v>
      </c>
      <c r="C45" s="21" t="s">
        <v>147</v>
      </c>
      <c r="D45" s="22">
        <f>3000-1340</f>
        <v>1660</v>
      </c>
      <c r="E45" s="21" t="s">
        <v>312</v>
      </c>
      <c r="F45" s="21">
        <v>2018</v>
      </c>
      <c r="G45" s="21" t="s">
        <v>148</v>
      </c>
      <c r="H45" s="23">
        <v>43278</v>
      </c>
      <c r="I45" s="21" t="s">
        <v>202</v>
      </c>
      <c r="J45" s="24">
        <v>2210</v>
      </c>
      <c r="K45" s="21">
        <v>2282</v>
      </c>
    </row>
    <row r="46" spans="1:11" ht="47.25">
      <c r="A46">
        <v>7</v>
      </c>
      <c r="B46" s="20" t="s">
        <v>247</v>
      </c>
      <c r="C46" s="21" t="s">
        <v>147</v>
      </c>
      <c r="D46" s="22">
        <f>5000-2500-1033</f>
        <v>1467</v>
      </c>
      <c r="E46" s="21" t="s">
        <v>319</v>
      </c>
      <c r="F46" s="21">
        <v>2018</v>
      </c>
      <c r="G46" s="21" t="s">
        <v>148</v>
      </c>
      <c r="H46" s="23">
        <v>43278</v>
      </c>
      <c r="I46" s="21" t="s">
        <v>204</v>
      </c>
      <c r="J46" s="24">
        <v>2210</v>
      </c>
      <c r="K46" s="21">
        <v>2282</v>
      </c>
    </row>
    <row r="47" spans="1:11" ht="47.25">
      <c r="A47">
        <v>7</v>
      </c>
      <c r="B47" s="20" t="s">
        <v>208</v>
      </c>
      <c r="C47" s="21" t="s">
        <v>147</v>
      </c>
      <c r="D47" s="22">
        <f>500-446</f>
        <v>54</v>
      </c>
      <c r="E47" s="21" t="s">
        <v>299</v>
      </c>
      <c r="F47" s="21">
        <v>2018</v>
      </c>
      <c r="G47" s="21" t="s">
        <v>148</v>
      </c>
      <c r="H47" s="23">
        <v>43278</v>
      </c>
      <c r="I47" s="21" t="s">
        <v>207</v>
      </c>
      <c r="J47" s="24">
        <v>2210</v>
      </c>
      <c r="K47" s="21">
        <v>2282</v>
      </c>
    </row>
    <row r="48" spans="1:11" ht="47.25">
      <c r="A48">
        <v>7</v>
      </c>
      <c r="B48" s="20" t="s">
        <v>277</v>
      </c>
      <c r="C48" s="21" t="s">
        <v>147</v>
      </c>
      <c r="D48" s="22">
        <f>2000-628</f>
        <v>1372</v>
      </c>
      <c r="E48" s="21" t="s">
        <v>318</v>
      </c>
      <c r="F48" s="21">
        <v>2018</v>
      </c>
      <c r="G48" s="21" t="s">
        <v>148</v>
      </c>
      <c r="H48" s="23">
        <v>43278</v>
      </c>
      <c r="I48" s="21" t="s">
        <v>209</v>
      </c>
      <c r="J48" s="24">
        <v>2210</v>
      </c>
      <c r="K48" s="21">
        <v>2282</v>
      </c>
    </row>
    <row r="49" spans="1:11" ht="47.25">
      <c r="A49">
        <v>7</v>
      </c>
      <c r="B49" s="20" t="s">
        <v>187</v>
      </c>
      <c r="C49" s="21" t="s">
        <v>147</v>
      </c>
      <c r="D49" s="22">
        <f>2000-1000</f>
        <v>1000</v>
      </c>
      <c r="E49" s="21" t="s">
        <v>309</v>
      </c>
      <c r="F49" s="21">
        <v>2018</v>
      </c>
      <c r="G49" s="21" t="s">
        <v>148</v>
      </c>
      <c r="H49" s="23">
        <v>43278</v>
      </c>
      <c r="I49" s="21" t="s">
        <v>186</v>
      </c>
      <c r="J49" s="24">
        <v>2210</v>
      </c>
      <c r="K49" s="21">
        <v>2282</v>
      </c>
    </row>
    <row r="50" spans="1:11" ht="47.25">
      <c r="A50">
        <v>7</v>
      </c>
      <c r="B50" s="20" t="s">
        <v>243</v>
      </c>
      <c r="C50" s="21" t="s">
        <v>147</v>
      </c>
      <c r="D50" s="22">
        <f>10000-1000</f>
        <v>9000</v>
      </c>
      <c r="E50" s="21" t="s">
        <v>296</v>
      </c>
      <c r="F50" s="21">
        <v>2018</v>
      </c>
      <c r="G50" s="21" t="s">
        <v>148</v>
      </c>
      <c r="H50" s="23">
        <v>43278</v>
      </c>
      <c r="I50" s="21" t="s">
        <v>244</v>
      </c>
      <c r="J50" s="24">
        <v>2210</v>
      </c>
      <c r="K50" s="21">
        <v>2282</v>
      </c>
    </row>
    <row r="51" spans="1:11" ht="47.25">
      <c r="A51">
        <v>7</v>
      </c>
      <c r="B51" s="20" t="s">
        <v>189</v>
      </c>
      <c r="C51" s="21" t="s">
        <v>147</v>
      </c>
      <c r="D51" s="22">
        <f>20000-3000-970.45-6769.55</f>
        <v>9260</v>
      </c>
      <c r="E51" s="21" t="s">
        <v>294</v>
      </c>
      <c r="F51" s="21">
        <v>2018</v>
      </c>
      <c r="G51" s="21" t="s">
        <v>148</v>
      </c>
      <c r="H51" s="23">
        <v>43278</v>
      </c>
      <c r="I51" s="21" t="s">
        <v>188</v>
      </c>
      <c r="J51" s="24">
        <v>2210</v>
      </c>
      <c r="K51" s="21">
        <v>2282</v>
      </c>
    </row>
    <row r="52" spans="1:11" ht="31.5">
      <c r="A52">
        <v>7</v>
      </c>
      <c r="B52" s="20" t="s">
        <v>174</v>
      </c>
      <c r="C52" s="21" t="s">
        <v>147</v>
      </c>
      <c r="D52" s="22">
        <v>3835.41</v>
      </c>
      <c r="E52" s="21" t="s">
        <v>307</v>
      </c>
      <c r="F52" s="21">
        <v>2018</v>
      </c>
      <c r="G52" s="21" t="s">
        <v>148</v>
      </c>
      <c r="H52" s="23">
        <v>43278</v>
      </c>
      <c r="I52" s="21" t="s">
        <v>173</v>
      </c>
      <c r="J52" s="24">
        <v>2210</v>
      </c>
      <c r="K52" s="21">
        <v>2282</v>
      </c>
    </row>
    <row r="53" spans="1:11" ht="31.5">
      <c r="A53">
        <v>7</v>
      </c>
      <c r="B53" s="20" t="s">
        <v>176</v>
      </c>
      <c r="C53" s="21" t="s">
        <v>147</v>
      </c>
      <c r="D53" s="22">
        <v>1045.8</v>
      </c>
      <c r="E53" s="21" t="s">
        <v>297</v>
      </c>
      <c r="F53" s="21">
        <v>2018</v>
      </c>
      <c r="G53" s="21" t="s">
        <v>148</v>
      </c>
      <c r="H53" s="23">
        <v>43278</v>
      </c>
      <c r="I53" s="21" t="s">
        <v>175</v>
      </c>
      <c r="J53" s="24">
        <v>2210</v>
      </c>
      <c r="K53" s="21">
        <v>2282</v>
      </c>
    </row>
    <row r="54" spans="1:11" ht="31.5">
      <c r="A54">
        <v>7</v>
      </c>
      <c r="B54" s="20" t="s">
        <v>179</v>
      </c>
      <c r="C54" s="21" t="s">
        <v>147</v>
      </c>
      <c r="D54" s="22">
        <v>5826</v>
      </c>
      <c r="E54" s="21" t="s">
        <v>310</v>
      </c>
      <c r="F54" s="21">
        <v>2018</v>
      </c>
      <c r="G54" s="21" t="s">
        <v>148</v>
      </c>
      <c r="H54" s="23">
        <v>43278</v>
      </c>
      <c r="I54" s="21" t="s">
        <v>178</v>
      </c>
      <c r="J54" s="24">
        <v>2210</v>
      </c>
      <c r="K54" s="21">
        <v>2282</v>
      </c>
    </row>
    <row r="55" spans="1:11" ht="47.25">
      <c r="A55">
        <v>7</v>
      </c>
      <c r="B55" s="20" t="s">
        <v>224</v>
      </c>
      <c r="C55" s="21" t="s">
        <v>147</v>
      </c>
      <c r="D55" s="22">
        <f>68000-509.2+11832.39-8545.37</f>
        <v>70777.82</v>
      </c>
      <c r="E55" s="21" t="s">
        <v>308</v>
      </c>
      <c r="F55" s="21">
        <v>2018</v>
      </c>
      <c r="G55" s="21" t="s">
        <v>148</v>
      </c>
      <c r="H55" s="23">
        <v>43278</v>
      </c>
      <c r="I55" s="21" t="s">
        <v>222</v>
      </c>
      <c r="J55" s="24">
        <v>2220</v>
      </c>
      <c r="K55" s="21">
        <v>2282</v>
      </c>
    </row>
    <row r="56" spans="1:11" ht="47.25">
      <c r="A56">
        <v>7</v>
      </c>
      <c r="B56" s="20" t="s">
        <v>152</v>
      </c>
      <c r="C56" s="21" t="s">
        <v>147</v>
      </c>
      <c r="D56" s="22">
        <f>6000-331+1204.62-222.26</f>
        <v>6651.36</v>
      </c>
      <c r="E56" s="21" t="s">
        <v>293</v>
      </c>
      <c r="F56" s="21">
        <v>2018</v>
      </c>
      <c r="G56" s="21" t="s">
        <v>148</v>
      </c>
      <c r="H56" s="23">
        <v>43278</v>
      </c>
      <c r="I56" s="21" t="s">
        <v>151</v>
      </c>
      <c r="J56" s="24">
        <v>2240</v>
      </c>
      <c r="K56" s="21">
        <v>2282</v>
      </c>
    </row>
    <row r="57" spans="1:11" ht="47.25">
      <c r="A57">
        <v>7</v>
      </c>
      <c r="B57" s="20" t="s">
        <v>154</v>
      </c>
      <c r="C57" s="21" t="s">
        <v>147</v>
      </c>
      <c r="D57" s="22">
        <f>5592-3350+5000+1182.48+4877.54</f>
        <v>13302.02</v>
      </c>
      <c r="E57" s="21" t="s">
        <v>302</v>
      </c>
      <c r="F57" s="21">
        <v>2018</v>
      </c>
      <c r="G57" s="21" t="s">
        <v>148</v>
      </c>
      <c r="H57" s="23">
        <v>43278</v>
      </c>
      <c r="I57" s="21" t="s">
        <v>153</v>
      </c>
      <c r="J57" s="24">
        <v>2240</v>
      </c>
      <c r="K57" s="21">
        <v>2282</v>
      </c>
    </row>
    <row r="58" spans="1:11" ht="47.25">
      <c r="A58">
        <v>7</v>
      </c>
      <c r="B58" s="20" t="s">
        <v>157</v>
      </c>
      <c r="C58" s="21" t="s">
        <v>147</v>
      </c>
      <c r="D58" s="22">
        <f>331-331</f>
        <v>0</v>
      </c>
      <c r="E58" s="21" t="s">
        <v>303</v>
      </c>
      <c r="F58" s="21">
        <v>2018</v>
      </c>
      <c r="G58" s="21" t="s">
        <v>148</v>
      </c>
      <c r="H58" s="23">
        <v>43278</v>
      </c>
      <c r="I58" s="21" t="s">
        <v>150</v>
      </c>
      <c r="J58" s="24">
        <v>2240</v>
      </c>
      <c r="K58" s="21">
        <v>2282</v>
      </c>
    </row>
    <row r="59" spans="1:11" ht="47.25">
      <c r="A59">
        <v>7</v>
      </c>
      <c r="B59" s="20" t="s">
        <v>232</v>
      </c>
      <c r="C59" s="21" t="s">
        <v>147</v>
      </c>
      <c r="D59" s="22">
        <f>20000-941.45</f>
        <v>19058.55</v>
      </c>
      <c r="E59" s="21" t="s">
        <v>313</v>
      </c>
      <c r="F59" s="21">
        <v>2018</v>
      </c>
      <c r="G59" s="21" t="s">
        <v>148</v>
      </c>
      <c r="H59" s="23">
        <v>43278</v>
      </c>
      <c r="I59" s="21" t="s">
        <v>231</v>
      </c>
      <c r="J59" s="24">
        <v>2240</v>
      </c>
      <c r="K59" s="21">
        <v>2282</v>
      </c>
    </row>
    <row r="60" spans="1:11" ht="31.5">
      <c r="A60">
        <v>7</v>
      </c>
      <c r="B60" s="20" t="s">
        <v>289</v>
      </c>
      <c r="C60" s="21" t="s">
        <v>147</v>
      </c>
      <c r="D60" s="22">
        <v>600</v>
      </c>
      <c r="E60" s="21" t="s">
        <v>314</v>
      </c>
      <c r="F60" s="21">
        <v>2018</v>
      </c>
      <c r="G60" s="21" t="s">
        <v>148</v>
      </c>
      <c r="H60" s="23">
        <v>43278</v>
      </c>
      <c r="I60" s="21" t="s">
        <v>288</v>
      </c>
      <c r="J60" s="24">
        <v>2240</v>
      </c>
      <c r="K60" s="21">
        <v>2282</v>
      </c>
    </row>
    <row r="61" spans="1:11" ht="47.25">
      <c r="A61">
        <v>7</v>
      </c>
      <c r="B61" s="20" t="s">
        <v>238</v>
      </c>
      <c r="C61" s="21" t="s">
        <v>147</v>
      </c>
      <c r="D61" s="22">
        <f>368347-100786.75</f>
        <v>267560.25</v>
      </c>
      <c r="E61" s="21" t="s">
        <v>317</v>
      </c>
      <c r="F61" s="21">
        <v>2018</v>
      </c>
      <c r="G61" s="21" t="s">
        <v>65</v>
      </c>
      <c r="H61" s="23">
        <v>43278</v>
      </c>
      <c r="I61" s="21" t="s">
        <v>237</v>
      </c>
      <c r="J61" s="24">
        <v>2271</v>
      </c>
      <c r="K61" s="21">
        <v>2271</v>
      </c>
    </row>
    <row r="62" spans="1:11" ht="47.25">
      <c r="A62">
        <v>7</v>
      </c>
      <c r="B62" s="20" t="s">
        <v>240</v>
      </c>
      <c r="C62" s="21" t="s">
        <v>147</v>
      </c>
      <c r="D62" s="22">
        <f>4214-2975.95</f>
        <v>1238.0500000000002</v>
      </c>
      <c r="E62" s="21" t="s">
        <v>316</v>
      </c>
      <c r="F62" s="21">
        <v>2018</v>
      </c>
      <c r="G62" s="21" t="s">
        <v>148</v>
      </c>
      <c r="H62" s="23">
        <v>43278</v>
      </c>
      <c r="I62" s="21" t="s">
        <v>239</v>
      </c>
      <c r="J62" s="24">
        <v>2272</v>
      </c>
      <c r="K62" s="21">
        <v>2272</v>
      </c>
    </row>
    <row r="63" spans="1:11" ht="47.25">
      <c r="A63">
        <v>7</v>
      </c>
      <c r="B63" s="20" t="s">
        <v>242</v>
      </c>
      <c r="C63" s="21" t="s">
        <v>147</v>
      </c>
      <c r="D63" s="22">
        <f>6586-4530.26</f>
        <v>2055.74</v>
      </c>
      <c r="E63" s="21" t="s">
        <v>298</v>
      </c>
      <c r="F63" s="21">
        <v>2018</v>
      </c>
      <c r="G63" s="21" t="s">
        <v>148</v>
      </c>
      <c r="H63" s="23">
        <v>43278</v>
      </c>
      <c r="I63" s="21" t="s">
        <v>241</v>
      </c>
      <c r="J63" s="24">
        <v>2272</v>
      </c>
      <c r="K63" s="21">
        <v>2272</v>
      </c>
    </row>
    <row r="64" spans="1:11" ht="47.25">
      <c r="A64">
        <v>7</v>
      </c>
      <c r="B64" s="20" t="s">
        <v>236</v>
      </c>
      <c r="C64" s="21" t="s">
        <v>147</v>
      </c>
      <c r="D64" s="22">
        <f>820000-30000-478197.13</f>
        <v>311802.87</v>
      </c>
      <c r="E64" s="21" t="s">
        <v>290</v>
      </c>
      <c r="F64" s="21">
        <v>2018</v>
      </c>
      <c r="G64" s="21" t="s">
        <v>65</v>
      </c>
      <c r="H64" s="23">
        <v>43278</v>
      </c>
      <c r="I64" s="21" t="s">
        <v>235</v>
      </c>
      <c r="J64" s="24">
        <v>2273</v>
      </c>
      <c r="K64" s="21">
        <v>2273</v>
      </c>
    </row>
    <row r="65" spans="1:11" ht="31.5">
      <c r="A65">
        <v>7</v>
      </c>
      <c r="B65" s="20"/>
      <c r="C65" s="21" t="s">
        <v>147</v>
      </c>
      <c r="D65" s="22"/>
      <c r="E65" s="21"/>
      <c r="F65" s="21">
        <v>2018</v>
      </c>
      <c r="G65" s="21" t="s">
        <v>148</v>
      </c>
      <c r="H65" s="23">
        <v>43278</v>
      </c>
      <c r="I65" s="21"/>
      <c r="J65" s="24">
        <v>2240</v>
      </c>
      <c r="K65" s="21">
        <v>2282</v>
      </c>
    </row>
    <row r="66" spans="1:11" ht="31.5">
      <c r="A66">
        <v>7</v>
      </c>
      <c r="B66" s="20"/>
      <c r="C66" s="21" t="s">
        <v>147</v>
      </c>
      <c r="D66" s="22"/>
      <c r="E66" s="21"/>
      <c r="F66" s="21">
        <v>2018</v>
      </c>
      <c r="G66" s="21" t="s">
        <v>148</v>
      </c>
      <c r="H66" s="23">
        <v>43278</v>
      </c>
      <c r="I66" s="21"/>
      <c r="J66" s="24">
        <v>2240</v>
      </c>
      <c r="K66" s="21">
        <v>2282</v>
      </c>
    </row>
    <row r="67" spans="1:11" ht="31.5">
      <c r="A67">
        <v>7</v>
      </c>
      <c r="B67" s="20"/>
      <c r="C67" s="21" t="s">
        <v>147</v>
      </c>
      <c r="D67" s="22"/>
      <c r="E67" s="21"/>
      <c r="F67" s="21">
        <v>2018</v>
      </c>
      <c r="G67" s="21" t="s">
        <v>148</v>
      </c>
      <c r="H67" s="23">
        <v>43278</v>
      </c>
      <c r="I67" s="21"/>
      <c r="J67" s="24">
        <v>2240</v>
      </c>
      <c r="K67" s="21">
        <v>2282</v>
      </c>
    </row>
    <row r="68" spans="1:11" ht="31.5">
      <c r="A68">
        <v>7</v>
      </c>
      <c r="B68" s="20"/>
      <c r="C68" s="21" t="s">
        <v>147</v>
      </c>
      <c r="D68" s="22"/>
      <c r="E68" s="21"/>
      <c r="F68" s="21">
        <v>2018</v>
      </c>
      <c r="G68" s="21" t="s">
        <v>148</v>
      </c>
      <c r="H68" s="23">
        <v>43278</v>
      </c>
      <c r="I68" s="21"/>
      <c r="J68" s="24">
        <v>2210</v>
      </c>
      <c r="K68" s="21">
        <v>2282</v>
      </c>
    </row>
    <row r="69" spans="1:11" ht="31.5">
      <c r="A69">
        <v>7</v>
      </c>
      <c r="B69" s="20"/>
      <c r="C69" s="21" t="s">
        <v>147</v>
      </c>
      <c r="D69" s="22"/>
      <c r="E69" s="21"/>
      <c r="F69" s="21">
        <v>2018</v>
      </c>
      <c r="G69" s="21" t="s">
        <v>148</v>
      </c>
      <c r="H69" s="23">
        <v>43278</v>
      </c>
      <c r="I69" s="21"/>
      <c r="J69" s="24">
        <v>2210</v>
      </c>
      <c r="K69" s="21">
        <v>2282</v>
      </c>
    </row>
    <row r="70" spans="1:11" ht="31.5">
      <c r="A70">
        <v>7</v>
      </c>
      <c r="B70" s="20"/>
      <c r="C70" s="21" t="s">
        <v>147</v>
      </c>
      <c r="D70" s="22"/>
      <c r="E70" s="21"/>
      <c r="F70" s="21">
        <v>2018</v>
      </c>
      <c r="G70" s="21" t="s">
        <v>148</v>
      </c>
      <c r="H70" s="23">
        <v>43278</v>
      </c>
      <c r="I70" s="21"/>
      <c r="J70" s="24">
        <v>2210</v>
      </c>
      <c r="K70" s="21">
        <v>2282</v>
      </c>
    </row>
    <row r="71" spans="1:11" ht="31.5">
      <c r="A71">
        <v>7</v>
      </c>
      <c r="B71" s="20"/>
      <c r="C71" s="21" t="s">
        <v>147</v>
      </c>
      <c r="D71" s="22"/>
      <c r="E71" s="21"/>
      <c r="F71" s="21">
        <v>2018</v>
      </c>
      <c r="G71" s="21" t="s">
        <v>148</v>
      </c>
      <c r="H71" s="23">
        <v>43278</v>
      </c>
      <c r="I71" s="21"/>
      <c r="J71" s="24">
        <v>2210</v>
      </c>
      <c r="K71" s="21">
        <v>2282</v>
      </c>
    </row>
    <row r="72" spans="1:11" ht="31.5">
      <c r="A72">
        <v>7</v>
      </c>
      <c r="B72" s="20"/>
      <c r="C72" s="21" t="s">
        <v>147</v>
      </c>
      <c r="D72" s="22"/>
      <c r="E72" s="21"/>
      <c r="F72" s="21">
        <v>2018</v>
      </c>
      <c r="G72" s="21" t="s">
        <v>148</v>
      </c>
      <c r="H72" s="23">
        <v>43278</v>
      </c>
      <c r="I72" s="21"/>
      <c r="J72" s="24">
        <v>2210</v>
      </c>
      <c r="K72" s="21">
        <v>2282</v>
      </c>
    </row>
    <row r="73" spans="1:11" ht="31.5">
      <c r="A73">
        <v>7</v>
      </c>
      <c r="B73" s="20"/>
      <c r="C73" s="21" t="s">
        <v>147</v>
      </c>
      <c r="D73" s="22"/>
      <c r="E73" s="21"/>
      <c r="F73" s="21">
        <v>2018</v>
      </c>
      <c r="G73" s="21" t="s">
        <v>148</v>
      </c>
      <c r="H73" s="23">
        <v>43278</v>
      </c>
      <c r="I73" s="21"/>
      <c r="J73" s="24">
        <v>2210</v>
      </c>
      <c r="K73" s="21">
        <v>2282</v>
      </c>
    </row>
    <row r="79" spans="2:8" ht="15.75">
      <c r="B79" s="21"/>
      <c r="C79" s="20"/>
      <c r="D79" s="49"/>
      <c r="E79" s="49"/>
      <c r="F79" s="21"/>
      <c r="G79" s="20"/>
      <c r="H79" s="49"/>
    </row>
    <row r="80" spans="2:8" ht="15.75">
      <c r="B80" s="21"/>
      <c r="C80" s="20"/>
      <c r="D80" s="49"/>
      <c r="E80" s="49"/>
      <c r="F80" s="21"/>
      <c r="G80" s="20"/>
      <c r="H80" s="49"/>
    </row>
    <row r="81" spans="2:8" ht="15.75">
      <c r="B81" s="21"/>
      <c r="C81" s="20"/>
      <c r="D81" s="49"/>
      <c r="E81" s="49"/>
      <c r="F81" s="21"/>
      <c r="G81" s="20"/>
      <c r="H81" s="49"/>
    </row>
    <row r="82" spans="2:8" ht="15.75">
      <c r="B82" s="21"/>
      <c r="C82" s="20"/>
      <c r="D82" s="49"/>
      <c r="E82" s="49"/>
      <c r="F82" s="21"/>
      <c r="G82" s="20"/>
      <c r="H82" s="49"/>
    </row>
  </sheetData>
  <sheetProtection/>
  <mergeCells count="2">
    <mergeCell ref="B1:J1"/>
    <mergeCell ref="B18:J18"/>
  </mergeCells>
  <dataValidations count="7">
    <dataValidation allowBlank="1" showInputMessage="1" showErrorMessage="1" promptTitle="обов'язкове" prompt="обов'язкове" sqref="I2:I3 I5 I9 I11 I16 I50 I58"/>
    <dataValidation type="whole" allowBlank="1" showInputMessage="1" showErrorMessage="1" errorTitle="Рік" error="Рік - ціле число" sqref="F2:F17 F19:F24 F27 F37 F33:F35 F31 F39:F40 F43:F44 F46 F50:F51 F55:F58">
      <formula1>1900</formula1>
      <formula2>2300</formula2>
    </dataValidation>
    <dataValidation allowBlank="1" showInputMessage="1" showErrorMessage="1" promptTitle="ціле чотирьохзначне число" prompt="ціле чотирьохзначне число" errorTitle="ціле чотирьохзначне число" error="ціле чотирьохзначне число" sqref="K2:K17 K19:K24 K39 K44"/>
    <dataValidation type="decimal" allowBlank="1" showInputMessage="1" showErrorMessage="1" errorTitle="Очікувана вартість" error="Очікувана вартість предмета закупівлі - тілько число" sqref="I6 D2:D17 I19 D19:D21 I21:I22 D23:D24 D35 D39 D44 D46 D50:D51 D56:D59 I57 I59">
      <formula1>0</formula1>
      <formula2>1E+32</formula2>
    </dataValidation>
    <dataValidation type="textLength" allowBlank="1" showInputMessage="1" showErrorMessage="1" promptTitle="обов'язкове" prompt="обов'язкове" sqref="I4 B2:B3 B16 I20 I56 B58">
      <formula1>1</formula1>
      <formula2>200000</formula2>
    </dataValidation>
    <dataValidation allowBlank="1" showInputMessage="1" showErrorMessage="1" promptTitle="необов'язкове" prompt="спочатку оберіть класифікатор, а потім через кому - код" sqref="J2:J17 J19:J24"/>
    <dataValidation type="date" showInputMessage="1" showErrorMessage="1" promptTitle="обов'язкове" prompt="обов'язкове" sqref="H2:H17 H19:H28">
      <formula1>1</formula1>
      <formula2>73051</formula2>
    </dataValidation>
  </dataValidations>
  <printOptions/>
  <pageMargins left="0.3937007874015748" right="0.3937007874015748" top="0.3937007874015748" bottom="0.3937007874015748" header="0.3937007874015748" footer="0.3937007874015748"/>
  <pageSetup fitToHeight="1" fitToWidth="1" orientation="landscape" paperSize="9" scale="62" r:id="rId1"/>
</worksheet>
</file>

<file path=xl/worksheets/sheet3.xml><?xml version="1.0" encoding="utf-8"?>
<worksheet xmlns="http://schemas.openxmlformats.org/spreadsheetml/2006/main" xmlns:r="http://schemas.openxmlformats.org/officeDocument/2006/relationships">
  <sheetPr codeName="Лист1"/>
  <dimension ref="B5:M76"/>
  <sheetViews>
    <sheetView zoomScalePageLayoutView="0" workbookViewId="0" topLeftCell="A55">
      <selection activeCell="A73" sqref="A73"/>
    </sheetView>
  </sheetViews>
  <sheetFormatPr defaultColWidth="9.140625" defaultRowHeight="15"/>
  <cols>
    <col min="3" max="3" width="14.140625" style="0" customWidth="1"/>
    <col min="4" max="4" width="4.28125" style="0" bestFit="1" customWidth="1"/>
    <col min="5" max="5" width="23.7109375" style="0" bestFit="1" customWidth="1"/>
    <col min="6" max="6" width="86.7109375" style="0" bestFit="1" customWidth="1"/>
    <col min="7" max="7" width="14.00390625" style="0" bestFit="1" customWidth="1"/>
    <col min="8" max="8" width="10.57421875" style="0" bestFit="1" customWidth="1"/>
    <col min="9" max="9" width="117.7109375" style="0" bestFit="1" customWidth="1"/>
    <col min="10" max="10" width="87.140625" style="0" bestFit="1" customWidth="1"/>
    <col min="11" max="11" width="33.57421875" style="0" bestFit="1" customWidth="1"/>
  </cols>
  <sheetData>
    <row r="4" ht="15.75" thickBot="1"/>
    <row r="5" spans="4:13" ht="15">
      <c r="D5" s="400" t="s">
        <v>0</v>
      </c>
      <c r="E5" s="2" t="s">
        <v>1</v>
      </c>
      <c r="F5" s="402" t="s">
        <v>3</v>
      </c>
      <c r="G5" s="379" t="s">
        <v>4</v>
      </c>
      <c r="H5" s="379" t="s">
        <v>5</v>
      </c>
      <c r="I5" s="379" t="s">
        <v>6</v>
      </c>
      <c r="J5" s="379" t="s">
        <v>7</v>
      </c>
      <c r="K5" s="379" t="s">
        <v>8</v>
      </c>
      <c r="L5" s="8"/>
      <c r="M5" s="9"/>
    </row>
    <row r="6" spans="4:13" ht="15.75" thickBot="1">
      <c r="D6" s="401"/>
      <c r="E6" s="3" t="s">
        <v>2</v>
      </c>
      <c r="F6" s="403"/>
      <c r="G6" s="380"/>
      <c r="H6" s="380"/>
      <c r="I6" s="380"/>
      <c r="J6" s="380"/>
      <c r="K6" s="380"/>
      <c r="L6" s="1"/>
      <c r="M6" s="10"/>
    </row>
    <row r="7" spans="2:11" ht="15">
      <c r="B7" s="404"/>
      <c r="C7" s="406"/>
      <c r="D7" s="408" t="s">
        <v>0</v>
      </c>
      <c r="E7" s="4" t="s">
        <v>9</v>
      </c>
      <c r="F7" s="410" t="s">
        <v>10</v>
      </c>
      <c r="G7" s="385" t="s">
        <v>11</v>
      </c>
      <c r="H7" s="385" t="s">
        <v>5</v>
      </c>
      <c r="I7" s="385" t="s">
        <v>12</v>
      </c>
      <c r="J7" s="385" t="s">
        <v>7</v>
      </c>
      <c r="K7" s="385" t="s">
        <v>8</v>
      </c>
    </row>
    <row r="8" spans="2:11" ht="15.75" thickBot="1">
      <c r="B8" s="405"/>
      <c r="C8" s="407"/>
      <c r="D8" s="409"/>
      <c r="E8" s="5" t="s">
        <v>2</v>
      </c>
      <c r="F8" s="411"/>
      <c r="G8" s="386"/>
      <c r="H8" s="386"/>
      <c r="I8" s="386"/>
      <c r="J8" s="386"/>
      <c r="K8" s="386"/>
    </row>
    <row r="9" spans="2:11" ht="15">
      <c r="B9" s="412"/>
      <c r="C9" s="414"/>
      <c r="D9" s="416" t="s">
        <v>0</v>
      </c>
      <c r="E9" s="6" t="s">
        <v>13</v>
      </c>
      <c r="F9" s="418" t="s">
        <v>14</v>
      </c>
      <c r="G9" s="389" t="s">
        <v>15</v>
      </c>
      <c r="H9" s="389" t="s">
        <v>5</v>
      </c>
      <c r="I9" s="389" t="s">
        <v>16</v>
      </c>
      <c r="J9" s="389" t="s">
        <v>7</v>
      </c>
      <c r="K9" s="389" t="s">
        <v>8</v>
      </c>
    </row>
    <row r="10" spans="2:11" ht="15.75" thickBot="1">
      <c r="B10" s="413"/>
      <c r="C10" s="415"/>
      <c r="D10" s="417"/>
      <c r="E10" s="7" t="s">
        <v>2</v>
      </c>
      <c r="F10" s="419"/>
      <c r="G10" s="390"/>
      <c r="H10" s="390"/>
      <c r="I10" s="390"/>
      <c r="J10" s="390"/>
      <c r="K10" s="390"/>
    </row>
    <row r="11" spans="2:11" ht="15">
      <c r="B11" s="404"/>
      <c r="C11" s="406"/>
      <c r="D11" s="408" t="s">
        <v>0</v>
      </c>
      <c r="E11" s="4" t="s">
        <v>17</v>
      </c>
      <c r="F11" s="410" t="s">
        <v>18</v>
      </c>
      <c r="G11" s="385" t="s">
        <v>19</v>
      </c>
      <c r="H11" s="385" t="s">
        <v>5</v>
      </c>
      <c r="I11" s="385" t="s">
        <v>20</v>
      </c>
      <c r="J11" s="385" t="s">
        <v>7</v>
      </c>
      <c r="K11" s="385" t="s">
        <v>8</v>
      </c>
    </row>
    <row r="12" spans="2:11" ht="15.75" thickBot="1">
      <c r="B12" s="405"/>
      <c r="C12" s="407"/>
      <c r="D12" s="409"/>
      <c r="E12" s="5" t="s">
        <v>2</v>
      </c>
      <c r="F12" s="411"/>
      <c r="G12" s="386"/>
      <c r="H12" s="386"/>
      <c r="I12" s="386"/>
      <c r="J12" s="386"/>
      <c r="K12" s="386"/>
    </row>
    <row r="13" spans="2:11" ht="15">
      <c r="B13" s="412"/>
      <c r="C13" s="414"/>
      <c r="D13" s="416" t="s">
        <v>0</v>
      </c>
      <c r="E13" s="6" t="s">
        <v>21</v>
      </c>
      <c r="F13" s="418" t="s">
        <v>22</v>
      </c>
      <c r="G13" s="389" t="s">
        <v>23</v>
      </c>
      <c r="H13" s="389" t="s">
        <v>5</v>
      </c>
      <c r="I13" s="389" t="s">
        <v>24</v>
      </c>
      <c r="J13" s="389" t="s">
        <v>7</v>
      </c>
      <c r="K13" s="389" t="s">
        <v>8</v>
      </c>
    </row>
    <row r="14" spans="2:11" ht="15.75" thickBot="1">
      <c r="B14" s="413"/>
      <c r="C14" s="415"/>
      <c r="D14" s="417"/>
      <c r="E14" s="7" t="s">
        <v>2</v>
      </c>
      <c r="F14" s="419"/>
      <c r="G14" s="390"/>
      <c r="H14" s="390"/>
      <c r="I14" s="390"/>
      <c r="J14" s="390"/>
      <c r="K14" s="390"/>
    </row>
    <row r="15" spans="2:11" ht="15">
      <c r="B15" s="404"/>
      <c r="C15" s="406"/>
      <c r="D15" s="408" t="s">
        <v>0</v>
      </c>
      <c r="E15" s="4" t="s">
        <v>25</v>
      </c>
      <c r="F15" s="410" t="s">
        <v>26</v>
      </c>
      <c r="G15" s="385" t="s">
        <v>27</v>
      </c>
      <c r="H15" s="385" t="s">
        <v>5</v>
      </c>
      <c r="I15" s="385" t="s">
        <v>28</v>
      </c>
      <c r="J15" s="385" t="s">
        <v>7</v>
      </c>
      <c r="K15" s="385" t="s">
        <v>8</v>
      </c>
    </row>
    <row r="16" spans="2:11" ht="15.75" thickBot="1">
      <c r="B16" s="405"/>
      <c r="C16" s="407"/>
      <c r="D16" s="409"/>
      <c r="E16" s="5" t="s">
        <v>2</v>
      </c>
      <c r="F16" s="411"/>
      <c r="G16" s="386"/>
      <c r="H16" s="386"/>
      <c r="I16" s="386"/>
      <c r="J16" s="386"/>
      <c r="K16" s="386"/>
    </row>
    <row r="17" spans="2:11" ht="15">
      <c r="B17" s="412"/>
      <c r="C17" s="414"/>
      <c r="D17" s="416" t="s">
        <v>0</v>
      </c>
      <c r="E17" s="6" t="s">
        <v>29</v>
      </c>
      <c r="F17" s="418" t="s">
        <v>30</v>
      </c>
      <c r="G17" s="389" t="s">
        <v>27</v>
      </c>
      <c r="H17" s="389" t="s">
        <v>5</v>
      </c>
      <c r="I17" s="389" t="s">
        <v>31</v>
      </c>
      <c r="J17" s="389" t="s">
        <v>7</v>
      </c>
      <c r="K17" s="389" t="s">
        <v>8</v>
      </c>
    </row>
    <row r="18" spans="2:11" ht="15.75" thickBot="1">
      <c r="B18" s="413"/>
      <c r="C18" s="415"/>
      <c r="D18" s="417"/>
      <c r="E18" s="7" t="s">
        <v>2</v>
      </c>
      <c r="F18" s="419"/>
      <c r="G18" s="390"/>
      <c r="H18" s="390"/>
      <c r="I18" s="390"/>
      <c r="J18" s="390"/>
      <c r="K18" s="390"/>
    </row>
    <row r="19" spans="2:11" ht="15">
      <c r="B19" s="404"/>
      <c r="C19" s="406"/>
      <c r="D19" s="408" t="s">
        <v>0</v>
      </c>
      <c r="E19" s="4" t="s">
        <v>32</v>
      </c>
      <c r="F19" s="410" t="s">
        <v>33</v>
      </c>
      <c r="G19" s="385" t="s">
        <v>19</v>
      </c>
      <c r="H19" s="385" t="s">
        <v>5</v>
      </c>
      <c r="I19" s="385" t="s">
        <v>34</v>
      </c>
      <c r="J19" s="385" t="s">
        <v>7</v>
      </c>
      <c r="K19" s="385" t="s">
        <v>8</v>
      </c>
    </row>
    <row r="20" spans="2:11" ht="15.75" thickBot="1">
      <c r="B20" s="405"/>
      <c r="C20" s="407"/>
      <c r="D20" s="409"/>
      <c r="E20" s="5" t="s">
        <v>2</v>
      </c>
      <c r="F20" s="411"/>
      <c r="G20" s="386"/>
      <c r="H20" s="386"/>
      <c r="I20" s="386"/>
      <c r="J20" s="386"/>
      <c r="K20" s="386"/>
    </row>
    <row r="21" spans="2:11" ht="15">
      <c r="B21" s="412"/>
      <c r="C21" s="414"/>
      <c r="D21" s="416" t="s">
        <v>0</v>
      </c>
      <c r="E21" s="6" t="s">
        <v>35</v>
      </c>
      <c r="F21" s="418" t="s">
        <v>36</v>
      </c>
      <c r="G21" s="389" t="s">
        <v>37</v>
      </c>
      <c r="H21" s="389" t="s">
        <v>5</v>
      </c>
      <c r="I21" s="389" t="s">
        <v>38</v>
      </c>
      <c r="J21" s="389" t="s">
        <v>7</v>
      </c>
      <c r="K21" s="389" t="s">
        <v>8</v>
      </c>
    </row>
    <row r="22" spans="2:11" ht="15.75" thickBot="1">
      <c r="B22" s="413"/>
      <c r="C22" s="415"/>
      <c r="D22" s="417"/>
      <c r="E22" s="7" t="s">
        <v>2</v>
      </c>
      <c r="F22" s="419"/>
      <c r="G22" s="390"/>
      <c r="H22" s="390"/>
      <c r="I22" s="390"/>
      <c r="J22" s="390"/>
      <c r="K22" s="390"/>
    </row>
    <row r="23" spans="2:11" ht="15">
      <c r="B23" s="404"/>
      <c r="C23" s="406"/>
      <c r="D23" s="408" t="s">
        <v>0</v>
      </c>
      <c r="E23" s="4" t="s">
        <v>39</v>
      </c>
      <c r="F23" s="410" t="s">
        <v>40</v>
      </c>
      <c r="G23" s="385" t="s">
        <v>41</v>
      </c>
      <c r="H23" s="385" t="s">
        <v>5</v>
      </c>
      <c r="I23" s="385" t="s">
        <v>42</v>
      </c>
      <c r="J23" s="385" t="s">
        <v>7</v>
      </c>
      <c r="K23" s="385" t="s">
        <v>8</v>
      </c>
    </row>
    <row r="24" spans="2:11" ht="15.75" thickBot="1">
      <c r="B24" s="405"/>
      <c r="C24" s="407"/>
      <c r="D24" s="409"/>
      <c r="E24" s="5" t="s">
        <v>2</v>
      </c>
      <c r="F24" s="411"/>
      <c r="G24" s="386"/>
      <c r="H24" s="386"/>
      <c r="I24" s="386"/>
      <c r="J24" s="386"/>
      <c r="K24" s="386"/>
    </row>
    <row r="25" spans="2:11" ht="15">
      <c r="B25" s="412"/>
      <c r="C25" s="414"/>
      <c r="D25" s="416" t="s">
        <v>0</v>
      </c>
      <c r="E25" s="6" t="s">
        <v>43</v>
      </c>
      <c r="F25" s="418" t="s">
        <v>44</v>
      </c>
      <c r="G25" s="389" t="s">
        <v>45</v>
      </c>
      <c r="H25" s="389" t="s">
        <v>5</v>
      </c>
      <c r="I25" s="389" t="s">
        <v>46</v>
      </c>
      <c r="J25" s="389" t="s">
        <v>7</v>
      </c>
      <c r="K25" s="389" t="s">
        <v>8</v>
      </c>
    </row>
    <row r="26" spans="2:11" ht="15.75" thickBot="1">
      <c r="B26" s="413"/>
      <c r="C26" s="415"/>
      <c r="D26" s="417"/>
      <c r="E26" s="7" t="s">
        <v>2</v>
      </c>
      <c r="F26" s="419"/>
      <c r="G26" s="390"/>
      <c r="H26" s="390"/>
      <c r="I26" s="390"/>
      <c r="J26" s="390"/>
      <c r="K26" s="390"/>
    </row>
    <row r="27" spans="2:11" ht="15">
      <c r="B27" s="404"/>
      <c r="C27" s="406"/>
      <c r="D27" s="408" t="s">
        <v>0</v>
      </c>
      <c r="E27" s="4" t="s">
        <v>47</v>
      </c>
      <c r="F27" s="410" t="s">
        <v>48</v>
      </c>
      <c r="G27" s="385" t="s">
        <v>19</v>
      </c>
      <c r="H27" s="385" t="s">
        <v>5</v>
      </c>
      <c r="I27" s="385" t="s">
        <v>49</v>
      </c>
      <c r="J27" s="385" t="s">
        <v>7</v>
      </c>
      <c r="K27" s="385" t="s">
        <v>8</v>
      </c>
    </row>
    <row r="28" spans="2:11" ht="15.75" thickBot="1">
      <c r="B28" s="405"/>
      <c r="C28" s="407"/>
      <c r="D28" s="409"/>
      <c r="E28" s="5" t="s">
        <v>2</v>
      </c>
      <c r="F28" s="411"/>
      <c r="G28" s="386"/>
      <c r="H28" s="386"/>
      <c r="I28" s="386"/>
      <c r="J28" s="386"/>
      <c r="K28" s="386"/>
    </row>
    <row r="29" spans="2:11" ht="15">
      <c r="B29" s="412"/>
      <c r="C29" s="414"/>
      <c r="D29" s="416" t="s">
        <v>0</v>
      </c>
      <c r="E29" s="6" t="s">
        <v>50</v>
      </c>
      <c r="F29" s="418" t="s">
        <v>51</v>
      </c>
      <c r="G29" s="389" t="s">
        <v>19</v>
      </c>
      <c r="H29" s="389" t="s">
        <v>5</v>
      </c>
      <c r="I29" s="389" t="s">
        <v>52</v>
      </c>
      <c r="J29" s="389" t="s">
        <v>7</v>
      </c>
      <c r="K29" s="389" t="s">
        <v>8</v>
      </c>
    </row>
    <row r="30" spans="2:11" ht="15.75" thickBot="1">
      <c r="B30" s="413"/>
      <c r="C30" s="415"/>
      <c r="D30" s="417"/>
      <c r="E30" s="7" t="s">
        <v>2</v>
      </c>
      <c r="F30" s="419"/>
      <c r="G30" s="390"/>
      <c r="H30" s="390"/>
      <c r="I30" s="390"/>
      <c r="J30" s="390"/>
      <c r="K30" s="390"/>
    </row>
    <row r="31" spans="2:11" ht="15">
      <c r="B31" s="404"/>
      <c r="C31" s="406"/>
      <c r="D31" s="408" t="s">
        <v>0</v>
      </c>
      <c r="E31" s="4" t="s">
        <v>53</v>
      </c>
      <c r="F31" s="410" t="s">
        <v>54</v>
      </c>
      <c r="G31" s="385" t="s">
        <v>37</v>
      </c>
      <c r="H31" s="385" t="s">
        <v>5</v>
      </c>
      <c r="I31" s="385" t="s">
        <v>55</v>
      </c>
      <c r="J31" s="385" t="s">
        <v>7</v>
      </c>
      <c r="K31" s="385" t="s">
        <v>8</v>
      </c>
    </row>
    <row r="32" spans="2:11" ht="15.75" thickBot="1">
      <c r="B32" s="405"/>
      <c r="C32" s="407"/>
      <c r="D32" s="409"/>
      <c r="E32" s="5" t="s">
        <v>2</v>
      </c>
      <c r="F32" s="411"/>
      <c r="G32" s="386"/>
      <c r="H32" s="386"/>
      <c r="I32" s="386"/>
      <c r="J32" s="386"/>
      <c r="K32" s="386"/>
    </row>
    <row r="33" spans="2:11" ht="15">
      <c r="B33" s="412"/>
      <c r="C33" s="414"/>
      <c r="D33" s="416" t="s">
        <v>0</v>
      </c>
      <c r="E33" s="6" t="s">
        <v>56</v>
      </c>
      <c r="F33" s="418" t="s">
        <v>57</v>
      </c>
      <c r="G33" s="389" t="s">
        <v>58</v>
      </c>
      <c r="H33" s="389" t="s">
        <v>5</v>
      </c>
      <c r="I33" s="389" t="s">
        <v>59</v>
      </c>
      <c r="J33" s="389" t="s">
        <v>7</v>
      </c>
      <c r="K33" s="389" t="s">
        <v>8</v>
      </c>
    </row>
    <row r="34" spans="2:11" ht="15.75" thickBot="1">
      <c r="B34" s="413"/>
      <c r="C34" s="415"/>
      <c r="D34" s="417"/>
      <c r="E34" s="7" t="s">
        <v>2</v>
      </c>
      <c r="F34" s="419"/>
      <c r="G34" s="390"/>
      <c r="H34" s="390"/>
      <c r="I34" s="390"/>
      <c r="J34" s="390"/>
      <c r="K34" s="390"/>
    </row>
    <row r="35" spans="2:11" ht="15">
      <c r="B35" s="404"/>
      <c r="C35" s="406"/>
      <c r="D35" s="408" t="s">
        <v>0</v>
      </c>
      <c r="E35" s="4" t="s">
        <v>60</v>
      </c>
      <c r="F35" s="410" t="s">
        <v>61</v>
      </c>
      <c r="G35" s="385" t="s">
        <v>62</v>
      </c>
      <c r="H35" s="385" t="s">
        <v>5</v>
      </c>
      <c r="I35" s="385" t="s">
        <v>63</v>
      </c>
      <c r="J35" s="385" t="s">
        <v>64</v>
      </c>
      <c r="K35" s="385" t="s">
        <v>65</v>
      </c>
    </row>
    <row r="36" spans="2:11" ht="15.75" thickBot="1">
      <c r="B36" s="405"/>
      <c r="C36" s="407"/>
      <c r="D36" s="409"/>
      <c r="E36" s="5" t="s">
        <v>2</v>
      </c>
      <c r="F36" s="411"/>
      <c r="G36" s="386"/>
      <c r="H36" s="386"/>
      <c r="I36" s="386"/>
      <c r="J36" s="386"/>
      <c r="K36" s="386"/>
    </row>
    <row r="37" spans="2:11" ht="15">
      <c r="B37" s="412"/>
      <c r="C37" s="414"/>
      <c r="D37" s="416" t="s">
        <v>0</v>
      </c>
      <c r="E37" s="6" t="s">
        <v>66</v>
      </c>
      <c r="F37" s="418" t="s">
        <v>67</v>
      </c>
      <c r="G37" s="389" t="s">
        <v>45</v>
      </c>
      <c r="H37" s="389" t="s">
        <v>5</v>
      </c>
      <c r="I37" s="389" t="s">
        <v>68</v>
      </c>
      <c r="J37" s="389" t="s">
        <v>7</v>
      </c>
      <c r="K37" s="389" t="s">
        <v>8</v>
      </c>
    </row>
    <row r="38" spans="2:11" ht="15.75" thickBot="1">
      <c r="B38" s="413"/>
      <c r="C38" s="415"/>
      <c r="D38" s="417"/>
      <c r="E38" s="7" t="s">
        <v>2</v>
      </c>
      <c r="F38" s="419"/>
      <c r="G38" s="390"/>
      <c r="H38" s="390"/>
      <c r="I38" s="390"/>
      <c r="J38" s="390"/>
      <c r="K38" s="390"/>
    </row>
    <row r="39" spans="2:11" ht="15">
      <c r="B39" s="404"/>
      <c r="C39" s="406"/>
      <c r="D39" s="408" t="s">
        <v>0</v>
      </c>
      <c r="E39" s="4" t="s">
        <v>69</v>
      </c>
      <c r="F39" s="410" t="s">
        <v>70</v>
      </c>
      <c r="G39" s="385" t="s">
        <v>71</v>
      </c>
      <c r="H39" s="385" t="s">
        <v>5</v>
      </c>
      <c r="I39" s="385" t="s">
        <v>72</v>
      </c>
      <c r="J39" s="385" t="s">
        <v>7</v>
      </c>
      <c r="K39" s="385" t="s">
        <v>8</v>
      </c>
    </row>
    <row r="40" spans="2:11" ht="15.75" thickBot="1">
      <c r="B40" s="405"/>
      <c r="C40" s="407"/>
      <c r="D40" s="409"/>
      <c r="E40" s="5" t="s">
        <v>2</v>
      </c>
      <c r="F40" s="411"/>
      <c r="G40" s="386"/>
      <c r="H40" s="386"/>
      <c r="I40" s="386"/>
      <c r="J40" s="386"/>
      <c r="K40" s="386"/>
    </row>
    <row r="41" spans="2:11" ht="15">
      <c r="B41" s="412"/>
      <c r="C41" s="414"/>
      <c r="D41" s="416" t="s">
        <v>0</v>
      </c>
      <c r="E41" s="6" t="s">
        <v>73</v>
      </c>
      <c r="F41" s="418" t="s">
        <v>74</v>
      </c>
      <c r="G41" s="389" t="s">
        <v>37</v>
      </c>
      <c r="H41" s="389" t="s">
        <v>5</v>
      </c>
      <c r="I41" s="389" t="s">
        <v>75</v>
      </c>
      <c r="J41" s="389" t="s">
        <v>7</v>
      </c>
      <c r="K41" s="389" t="s">
        <v>8</v>
      </c>
    </row>
    <row r="42" spans="2:11" ht="15.75" thickBot="1">
      <c r="B42" s="413"/>
      <c r="C42" s="415"/>
      <c r="D42" s="417"/>
      <c r="E42" s="7" t="s">
        <v>2</v>
      </c>
      <c r="F42" s="419"/>
      <c r="G42" s="390"/>
      <c r="H42" s="390"/>
      <c r="I42" s="390"/>
      <c r="J42" s="390"/>
      <c r="K42" s="390"/>
    </row>
    <row r="43" spans="2:11" ht="15">
      <c r="B43" s="404"/>
      <c r="C43" s="406"/>
      <c r="D43" s="408" t="s">
        <v>0</v>
      </c>
      <c r="E43" s="4" t="s">
        <v>76</v>
      </c>
      <c r="F43" s="410" t="s">
        <v>77</v>
      </c>
      <c r="G43" s="385" t="s">
        <v>78</v>
      </c>
      <c r="H43" s="385" t="s">
        <v>5</v>
      </c>
      <c r="I43" s="385" t="s">
        <v>79</v>
      </c>
      <c r="J43" s="385" t="s">
        <v>7</v>
      </c>
      <c r="K43" s="385" t="s">
        <v>8</v>
      </c>
    </row>
    <row r="44" spans="2:11" ht="15.75" thickBot="1">
      <c r="B44" s="405"/>
      <c r="C44" s="407"/>
      <c r="D44" s="409"/>
      <c r="E44" s="5" t="s">
        <v>2</v>
      </c>
      <c r="F44" s="411"/>
      <c r="G44" s="386"/>
      <c r="H44" s="386"/>
      <c r="I44" s="386"/>
      <c r="J44" s="386"/>
      <c r="K44" s="386"/>
    </row>
    <row r="45" spans="2:11" ht="15">
      <c r="B45" s="412"/>
      <c r="C45" s="414"/>
      <c r="D45" s="416" t="s">
        <v>0</v>
      </c>
      <c r="E45" s="6" t="s">
        <v>80</v>
      </c>
      <c r="F45" s="418" t="s">
        <v>81</v>
      </c>
      <c r="G45" s="389" t="s">
        <v>37</v>
      </c>
      <c r="H45" s="389" t="s">
        <v>5</v>
      </c>
      <c r="I45" s="389" t="s">
        <v>82</v>
      </c>
      <c r="J45" s="389" t="s">
        <v>7</v>
      </c>
      <c r="K45" s="389" t="s">
        <v>8</v>
      </c>
    </row>
    <row r="46" spans="2:11" ht="15.75" thickBot="1">
      <c r="B46" s="413"/>
      <c r="C46" s="415"/>
      <c r="D46" s="417"/>
      <c r="E46" s="7" t="s">
        <v>2</v>
      </c>
      <c r="F46" s="419"/>
      <c r="G46" s="390"/>
      <c r="H46" s="390"/>
      <c r="I46" s="390"/>
      <c r="J46" s="390"/>
      <c r="K46" s="390"/>
    </row>
    <row r="47" spans="2:11" ht="15">
      <c r="B47" s="404"/>
      <c r="C47" s="406"/>
      <c r="D47" s="408" t="s">
        <v>0</v>
      </c>
      <c r="E47" s="4" t="s">
        <v>83</v>
      </c>
      <c r="F47" s="410" t="s">
        <v>84</v>
      </c>
      <c r="G47" s="385" t="s">
        <v>37</v>
      </c>
      <c r="H47" s="385" t="s">
        <v>5</v>
      </c>
      <c r="I47" s="385" t="s">
        <v>85</v>
      </c>
      <c r="J47" s="385" t="s">
        <v>7</v>
      </c>
      <c r="K47" s="385" t="s">
        <v>8</v>
      </c>
    </row>
    <row r="48" spans="2:11" ht="15.75" thickBot="1">
      <c r="B48" s="405"/>
      <c r="C48" s="407"/>
      <c r="D48" s="409"/>
      <c r="E48" s="5" t="s">
        <v>2</v>
      </c>
      <c r="F48" s="411"/>
      <c r="G48" s="386"/>
      <c r="H48" s="386"/>
      <c r="I48" s="386"/>
      <c r="J48" s="386"/>
      <c r="K48" s="386"/>
    </row>
    <row r="49" spans="2:11" ht="15">
      <c r="B49" s="412"/>
      <c r="C49" s="414"/>
      <c r="D49" s="416" t="s">
        <v>0</v>
      </c>
      <c r="E49" s="6" t="s">
        <v>86</v>
      </c>
      <c r="F49" s="418" t="s">
        <v>87</v>
      </c>
      <c r="G49" s="389" t="s">
        <v>37</v>
      </c>
      <c r="H49" s="389" t="s">
        <v>5</v>
      </c>
      <c r="I49" s="389" t="s">
        <v>88</v>
      </c>
      <c r="J49" s="389" t="s">
        <v>7</v>
      </c>
      <c r="K49" s="389" t="s">
        <v>8</v>
      </c>
    </row>
    <row r="50" spans="2:11" ht="15.75" thickBot="1">
      <c r="B50" s="413"/>
      <c r="C50" s="415"/>
      <c r="D50" s="417"/>
      <c r="E50" s="7" t="s">
        <v>2</v>
      </c>
      <c r="F50" s="419"/>
      <c r="G50" s="390"/>
      <c r="H50" s="390"/>
      <c r="I50" s="390"/>
      <c r="J50" s="390"/>
      <c r="K50" s="390"/>
    </row>
    <row r="51" spans="2:11" ht="15">
      <c r="B51" s="404"/>
      <c r="C51" s="406"/>
      <c r="D51" s="408" t="s">
        <v>0</v>
      </c>
      <c r="E51" s="4" t="s">
        <v>89</v>
      </c>
      <c r="F51" s="410" t="s">
        <v>90</v>
      </c>
      <c r="G51" s="385" t="s">
        <v>45</v>
      </c>
      <c r="H51" s="385" t="s">
        <v>5</v>
      </c>
      <c r="I51" s="385" t="s">
        <v>91</v>
      </c>
      <c r="J51" s="385" t="s">
        <v>7</v>
      </c>
      <c r="K51" s="385" t="s">
        <v>8</v>
      </c>
    </row>
    <row r="52" spans="2:11" ht="15.75" thickBot="1">
      <c r="B52" s="405"/>
      <c r="C52" s="407"/>
      <c r="D52" s="409"/>
      <c r="E52" s="5" t="s">
        <v>2</v>
      </c>
      <c r="F52" s="411"/>
      <c r="G52" s="386"/>
      <c r="H52" s="386"/>
      <c r="I52" s="386"/>
      <c r="J52" s="386"/>
      <c r="K52" s="386"/>
    </row>
    <row r="53" spans="2:11" ht="15">
      <c r="B53" s="412"/>
      <c r="C53" s="414"/>
      <c r="D53" s="416" t="s">
        <v>0</v>
      </c>
      <c r="E53" s="6" t="s">
        <v>92</v>
      </c>
      <c r="F53" s="418" t="s">
        <v>93</v>
      </c>
      <c r="G53" s="389" t="s">
        <v>37</v>
      </c>
      <c r="H53" s="389" t="s">
        <v>5</v>
      </c>
      <c r="I53" s="389" t="s">
        <v>94</v>
      </c>
      <c r="J53" s="389" t="s">
        <v>7</v>
      </c>
      <c r="K53" s="389" t="s">
        <v>8</v>
      </c>
    </row>
    <row r="54" spans="2:11" ht="15.75" thickBot="1">
      <c r="B54" s="413"/>
      <c r="C54" s="415"/>
      <c r="D54" s="417"/>
      <c r="E54" s="7" t="s">
        <v>2</v>
      </c>
      <c r="F54" s="419"/>
      <c r="G54" s="390"/>
      <c r="H54" s="390"/>
      <c r="I54" s="390"/>
      <c r="J54" s="390"/>
      <c r="K54" s="390"/>
    </row>
    <row r="55" spans="2:11" ht="15">
      <c r="B55" s="404"/>
      <c r="C55" s="406"/>
      <c r="D55" s="408" t="s">
        <v>0</v>
      </c>
      <c r="E55" s="4" t="s">
        <v>95</v>
      </c>
      <c r="F55" s="410" t="s">
        <v>96</v>
      </c>
      <c r="G55" s="385" t="s">
        <v>97</v>
      </c>
      <c r="H55" s="385" t="s">
        <v>5</v>
      </c>
      <c r="I55" s="385" t="s">
        <v>98</v>
      </c>
      <c r="J55" s="385" t="s">
        <v>99</v>
      </c>
      <c r="K55" s="385" t="s">
        <v>8</v>
      </c>
    </row>
    <row r="56" spans="2:11" ht="15.75" thickBot="1">
      <c r="B56" s="405"/>
      <c r="C56" s="407"/>
      <c r="D56" s="409"/>
      <c r="E56" s="5" t="s">
        <v>2</v>
      </c>
      <c r="F56" s="411"/>
      <c r="G56" s="386"/>
      <c r="H56" s="386"/>
      <c r="I56" s="386"/>
      <c r="J56" s="386"/>
      <c r="K56" s="386"/>
    </row>
    <row r="57" spans="2:11" ht="15">
      <c r="B57" s="412"/>
      <c r="C57" s="414"/>
      <c r="D57" s="416" t="s">
        <v>0</v>
      </c>
      <c r="E57" s="6" t="s">
        <v>100</v>
      </c>
      <c r="F57" s="418" t="s">
        <v>101</v>
      </c>
      <c r="G57" s="389" t="s">
        <v>58</v>
      </c>
      <c r="H57" s="389" t="s">
        <v>5</v>
      </c>
      <c r="I57" s="389" t="s">
        <v>102</v>
      </c>
      <c r="J57" s="389" t="s">
        <v>7</v>
      </c>
      <c r="K57" s="389" t="s">
        <v>8</v>
      </c>
    </row>
    <row r="58" spans="2:11" ht="15.75" thickBot="1">
      <c r="B58" s="413"/>
      <c r="C58" s="415"/>
      <c r="D58" s="417"/>
      <c r="E58" s="7" t="s">
        <v>2</v>
      </c>
      <c r="F58" s="419"/>
      <c r="G58" s="390"/>
      <c r="H58" s="390"/>
      <c r="I58" s="390"/>
      <c r="J58" s="390"/>
      <c r="K58" s="390"/>
    </row>
    <row r="59" spans="2:11" ht="15">
      <c r="B59" s="404"/>
      <c r="C59" s="406"/>
      <c r="D59" s="408" t="s">
        <v>0</v>
      </c>
      <c r="E59" s="4" t="s">
        <v>103</v>
      </c>
      <c r="F59" s="410" t="s">
        <v>104</v>
      </c>
      <c r="G59" s="385" t="s">
        <v>15</v>
      </c>
      <c r="H59" s="385" t="s">
        <v>5</v>
      </c>
      <c r="I59" s="385" t="s">
        <v>105</v>
      </c>
      <c r="J59" s="385" t="s">
        <v>7</v>
      </c>
      <c r="K59" s="385" t="s">
        <v>8</v>
      </c>
    </row>
    <row r="60" spans="2:11" ht="15.75" thickBot="1">
      <c r="B60" s="405"/>
      <c r="C60" s="407"/>
      <c r="D60" s="409"/>
      <c r="E60" s="5" t="s">
        <v>2</v>
      </c>
      <c r="F60" s="411"/>
      <c r="G60" s="386"/>
      <c r="H60" s="386"/>
      <c r="I60" s="386"/>
      <c r="J60" s="386"/>
      <c r="K60" s="386"/>
    </row>
    <row r="61" spans="2:11" ht="15">
      <c r="B61" s="412"/>
      <c r="C61" s="414"/>
      <c r="D61" s="416" t="s">
        <v>0</v>
      </c>
      <c r="E61" s="6" t="s">
        <v>106</v>
      </c>
      <c r="F61" s="418" t="s">
        <v>107</v>
      </c>
      <c r="G61" s="389" t="s">
        <v>108</v>
      </c>
      <c r="H61" s="389" t="s">
        <v>5</v>
      </c>
      <c r="I61" s="389" t="s">
        <v>109</v>
      </c>
      <c r="J61" s="389" t="s">
        <v>7</v>
      </c>
      <c r="K61" s="389" t="s">
        <v>8</v>
      </c>
    </row>
    <row r="62" spans="2:11" ht="15.75" thickBot="1">
      <c r="B62" s="413"/>
      <c r="C62" s="415"/>
      <c r="D62" s="417"/>
      <c r="E62" s="7" t="s">
        <v>2</v>
      </c>
      <c r="F62" s="419"/>
      <c r="G62" s="390"/>
      <c r="H62" s="390"/>
      <c r="I62" s="390"/>
      <c r="J62" s="390"/>
      <c r="K62" s="390"/>
    </row>
    <row r="63" spans="2:11" ht="15">
      <c r="B63" s="404"/>
      <c r="C63" s="406"/>
      <c r="D63" s="408" t="s">
        <v>0</v>
      </c>
      <c r="E63" s="4" t="s">
        <v>110</v>
      </c>
      <c r="F63" s="410" t="s">
        <v>111</v>
      </c>
      <c r="G63" s="385" t="s">
        <v>112</v>
      </c>
      <c r="H63" s="385" t="s">
        <v>5</v>
      </c>
      <c r="I63" s="385" t="s">
        <v>113</v>
      </c>
      <c r="J63" s="385" t="s">
        <v>7</v>
      </c>
      <c r="K63" s="385" t="s">
        <v>8</v>
      </c>
    </row>
    <row r="64" spans="2:11" ht="15.75" thickBot="1">
      <c r="B64" s="405"/>
      <c r="C64" s="407"/>
      <c r="D64" s="409"/>
      <c r="E64" s="5" t="s">
        <v>2</v>
      </c>
      <c r="F64" s="411"/>
      <c r="G64" s="386"/>
      <c r="H64" s="386"/>
      <c r="I64" s="386"/>
      <c r="J64" s="386"/>
      <c r="K64" s="386"/>
    </row>
    <row r="65" spans="2:11" ht="15">
      <c r="B65" s="412"/>
      <c r="C65" s="414"/>
      <c r="D65" s="416" t="s">
        <v>0</v>
      </c>
      <c r="E65" s="6" t="s">
        <v>114</v>
      </c>
      <c r="F65" s="418" t="s">
        <v>115</v>
      </c>
      <c r="G65" s="389" t="s">
        <v>19</v>
      </c>
      <c r="H65" s="389" t="s">
        <v>5</v>
      </c>
      <c r="I65" s="389" t="s">
        <v>116</v>
      </c>
      <c r="J65" s="389" t="s">
        <v>7</v>
      </c>
      <c r="K65" s="389" t="s">
        <v>8</v>
      </c>
    </row>
    <row r="66" spans="2:11" ht="15.75" thickBot="1">
      <c r="B66" s="413"/>
      <c r="C66" s="415"/>
      <c r="D66" s="417"/>
      <c r="E66" s="7" t="s">
        <v>2</v>
      </c>
      <c r="F66" s="419"/>
      <c r="G66" s="390"/>
      <c r="H66" s="390"/>
      <c r="I66" s="390"/>
      <c r="J66" s="390"/>
      <c r="K66" s="390"/>
    </row>
    <row r="67" spans="2:11" ht="15">
      <c r="B67" s="404"/>
      <c r="C67" s="406"/>
      <c r="D67" s="408" t="s">
        <v>0</v>
      </c>
      <c r="E67" s="4" t="s">
        <v>117</v>
      </c>
      <c r="F67" s="410" t="s">
        <v>118</v>
      </c>
      <c r="G67" s="385" t="s">
        <v>119</v>
      </c>
      <c r="H67" s="385" t="s">
        <v>5</v>
      </c>
      <c r="I67" s="385" t="s">
        <v>120</v>
      </c>
      <c r="J67" s="385" t="s">
        <v>7</v>
      </c>
      <c r="K67" s="385" t="s">
        <v>8</v>
      </c>
    </row>
    <row r="68" spans="2:11" ht="15.75" thickBot="1">
      <c r="B68" s="405"/>
      <c r="C68" s="407"/>
      <c r="D68" s="409"/>
      <c r="E68" s="5" t="s">
        <v>2</v>
      </c>
      <c r="F68" s="411"/>
      <c r="G68" s="386"/>
      <c r="H68" s="386"/>
      <c r="I68" s="386"/>
      <c r="J68" s="386"/>
      <c r="K68" s="386"/>
    </row>
    <row r="69" spans="2:11" ht="15">
      <c r="B69" s="412"/>
      <c r="C69" s="414"/>
      <c r="D69" s="416" t="s">
        <v>0</v>
      </c>
      <c r="E69" s="6" t="s">
        <v>121</v>
      </c>
      <c r="F69" s="418" t="s">
        <v>122</v>
      </c>
      <c r="G69" s="389" t="s">
        <v>123</v>
      </c>
      <c r="H69" s="389" t="s">
        <v>5</v>
      </c>
      <c r="I69" s="389" t="s">
        <v>124</v>
      </c>
      <c r="J69" s="389" t="s">
        <v>99</v>
      </c>
      <c r="K69" s="389" t="s">
        <v>8</v>
      </c>
    </row>
    <row r="70" spans="2:11" ht="15.75" thickBot="1">
      <c r="B70" s="413"/>
      <c r="C70" s="415"/>
      <c r="D70" s="417"/>
      <c r="E70" s="7" t="s">
        <v>2</v>
      </c>
      <c r="F70" s="419"/>
      <c r="G70" s="390"/>
      <c r="H70" s="390"/>
      <c r="I70" s="390"/>
      <c r="J70" s="390"/>
      <c r="K70" s="390"/>
    </row>
    <row r="71" spans="2:11" ht="15">
      <c r="B71" s="404"/>
      <c r="C71" s="406"/>
      <c r="D71" s="408" t="s">
        <v>0</v>
      </c>
      <c r="E71" s="4" t="s">
        <v>125</v>
      </c>
      <c r="F71" s="410" t="s">
        <v>126</v>
      </c>
      <c r="G71" s="385" t="s">
        <v>127</v>
      </c>
      <c r="H71" s="385" t="s">
        <v>5</v>
      </c>
      <c r="I71" s="385" t="s">
        <v>128</v>
      </c>
      <c r="J71" s="385" t="s">
        <v>7</v>
      </c>
      <c r="K71" s="385" t="s">
        <v>8</v>
      </c>
    </row>
    <row r="72" spans="2:11" ht="15.75" thickBot="1">
      <c r="B72" s="405"/>
      <c r="C72" s="407"/>
      <c r="D72" s="409"/>
      <c r="E72" s="5" t="s">
        <v>2</v>
      </c>
      <c r="F72" s="411"/>
      <c r="G72" s="386"/>
      <c r="H72" s="386"/>
      <c r="I72" s="386"/>
      <c r="J72" s="386"/>
      <c r="K72" s="386"/>
    </row>
    <row r="73" spans="2:11" ht="15">
      <c r="B73" s="412"/>
      <c r="C73" s="414"/>
      <c r="D73" s="416" t="s">
        <v>0</v>
      </c>
      <c r="E73" s="6" t="s">
        <v>129</v>
      </c>
      <c r="F73" s="418" t="s">
        <v>130</v>
      </c>
      <c r="G73" s="389" t="s">
        <v>45</v>
      </c>
      <c r="H73" s="389" t="s">
        <v>5</v>
      </c>
      <c r="I73" s="389" t="s">
        <v>131</v>
      </c>
      <c r="J73" s="389" t="s">
        <v>7</v>
      </c>
      <c r="K73" s="389" t="s">
        <v>8</v>
      </c>
    </row>
    <row r="74" spans="2:11" ht="15.75" thickBot="1">
      <c r="B74" s="413"/>
      <c r="C74" s="415"/>
      <c r="D74" s="417"/>
      <c r="E74" s="7" t="s">
        <v>2</v>
      </c>
      <c r="F74" s="419"/>
      <c r="G74" s="390"/>
      <c r="H74" s="390"/>
      <c r="I74" s="390"/>
      <c r="J74" s="390"/>
      <c r="K74" s="390"/>
    </row>
    <row r="75" spans="2:11" ht="15">
      <c r="B75" s="404"/>
      <c r="C75" s="406"/>
      <c r="D75" s="408" t="s">
        <v>0</v>
      </c>
      <c r="E75" s="4" t="s">
        <v>132</v>
      </c>
      <c r="F75" s="410" t="s">
        <v>133</v>
      </c>
      <c r="G75" s="385" t="s">
        <v>134</v>
      </c>
      <c r="H75" s="385" t="s">
        <v>5</v>
      </c>
      <c r="I75" s="385" t="s">
        <v>135</v>
      </c>
      <c r="J75" s="385" t="s">
        <v>136</v>
      </c>
      <c r="K75" s="385" t="s">
        <v>65</v>
      </c>
    </row>
    <row r="76" spans="2:11" ht="15.75" thickBot="1">
      <c r="B76" s="405"/>
      <c r="C76" s="407"/>
      <c r="D76" s="409"/>
      <c r="E76" s="5" t="s">
        <v>2</v>
      </c>
      <c r="F76" s="411"/>
      <c r="G76" s="386"/>
      <c r="H76" s="386"/>
      <c r="I76" s="386"/>
      <c r="J76" s="386"/>
      <c r="K76" s="386"/>
    </row>
  </sheetData>
  <sheetProtection/>
  <mergeCells count="322">
    <mergeCell ref="J75:J76"/>
    <mergeCell ref="K75:K76"/>
    <mergeCell ref="I73:I74"/>
    <mergeCell ref="J73:J74"/>
    <mergeCell ref="K73:K74"/>
    <mergeCell ref="B75:B76"/>
    <mergeCell ref="C75:C76"/>
    <mergeCell ref="D75:D76"/>
    <mergeCell ref="F75:F76"/>
    <mergeCell ref="G75:G76"/>
    <mergeCell ref="H75:H76"/>
    <mergeCell ref="I75:I76"/>
    <mergeCell ref="B73:B74"/>
    <mergeCell ref="C73:C74"/>
    <mergeCell ref="D73:D74"/>
    <mergeCell ref="F73:F74"/>
    <mergeCell ref="G73:G74"/>
    <mergeCell ref="H73:H74"/>
    <mergeCell ref="K69:K70"/>
    <mergeCell ref="B71:B72"/>
    <mergeCell ref="C71:C72"/>
    <mergeCell ref="D71:D72"/>
    <mergeCell ref="F71:F72"/>
    <mergeCell ref="G71:G72"/>
    <mergeCell ref="H71:H72"/>
    <mergeCell ref="I71:I72"/>
    <mergeCell ref="J71:J72"/>
    <mergeCell ref="K71:K72"/>
    <mergeCell ref="J67:J68"/>
    <mergeCell ref="K67:K68"/>
    <mergeCell ref="B69:B70"/>
    <mergeCell ref="C69:C70"/>
    <mergeCell ref="D69:D70"/>
    <mergeCell ref="F69:F70"/>
    <mergeCell ref="G69:G70"/>
    <mergeCell ref="H69:H70"/>
    <mergeCell ref="I69:I70"/>
    <mergeCell ref="J69:J70"/>
    <mergeCell ref="I65:I66"/>
    <mergeCell ref="J65:J66"/>
    <mergeCell ref="K65:K66"/>
    <mergeCell ref="B67:B68"/>
    <mergeCell ref="C67:C68"/>
    <mergeCell ref="D67:D68"/>
    <mergeCell ref="F67:F68"/>
    <mergeCell ref="G67:G68"/>
    <mergeCell ref="H67:H68"/>
    <mergeCell ref="I67:I68"/>
    <mergeCell ref="B65:B66"/>
    <mergeCell ref="C65:C66"/>
    <mergeCell ref="D65:D66"/>
    <mergeCell ref="F65:F66"/>
    <mergeCell ref="G65:G66"/>
    <mergeCell ref="H65:H66"/>
    <mergeCell ref="K61:K62"/>
    <mergeCell ref="B63:B64"/>
    <mergeCell ref="C63:C64"/>
    <mergeCell ref="D63:D64"/>
    <mergeCell ref="F63:F64"/>
    <mergeCell ref="G63:G64"/>
    <mergeCell ref="H63:H64"/>
    <mergeCell ref="I63:I64"/>
    <mergeCell ref="J63:J64"/>
    <mergeCell ref="K63:K64"/>
    <mergeCell ref="J59:J60"/>
    <mergeCell ref="K59:K60"/>
    <mergeCell ref="B61:B62"/>
    <mergeCell ref="C61:C62"/>
    <mergeCell ref="D61:D62"/>
    <mergeCell ref="F61:F62"/>
    <mergeCell ref="G61:G62"/>
    <mergeCell ref="H61:H62"/>
    <mergeCell ref="I61:I62"/>
    <mergeCell ref="J61:J62"/>
    <mergeCell ref="I57:I58"/>
    <mergeCell ref="J57:J58"/>
    <mergeCell ref="K57:K58"/>
    <mergeCell ref="B59:B60"/>
    <mergeCell ref="C59:C60"/>
    <mergeCell ref="D59:D60"/>
    <mergeCell ref="F59:F60"/>
    <mergeCell ref="G59:G60"/>
    <mergeCell ref="H59:H60"/>
    <mergeCell ref="I59:I60"/>
    <mergeCell ref="B57:B58"/>
    <mergeCell ref="C57:C58"/>
    <mergeCell ref="D57:D58"/>
    <mergeCell ref="F57:F58"/>
    <mergeCell ref="G57:G58"/>
    <mergeCell ref="H57:H58"/>
    <mergeCell ref="K53:K54"/>
    <mergeCell ref="B55:B56"/>
    <mergeCell ref="C55:C56"/>
    <mergeCell ref="D55:D56"/>
    <mergeCell ref="F55:F56"/>
    <mergeCell ref="G55:G56"/>
    <mergeCell ref="H55:H56"/>
    <mergeCell ref="I55:I56"/>
    <mergeCell ref="J55:J56"/>
    <mergeCell ref="K55:K56"/>
    <mergeCell ref="J51:J52"/>
    <mergeCell ref="K51:K52"/>
    <mergeCell ref="B53:B54"/>
    <mergeCell ref="C53:C54"/>
    <mergeCell ref="D53:D54"/>
    <mergeCell ref="F53:F54"/>
    <mergeCell ref="G53:G54"/>
    <mergeCell ref="H53:H54"/>
    <mergeCell ref="I53:I54"/>
    <mergeCell ref="J53:J54"/>
    <mergeCell ref="I49:I50"/>
    <mergeCell ref="J49:J50"/>
    <mergeCell ref="K49:K50"/>
    <mergeCell ref="B51:B52"/>
    <mergeCell ref="C51:C52"/>
    <mergeCell ref="D51:D52"/>
    <mergeCell ref="F51:F52"/>
    <mergeCell ref="G51:G52"/>
    <mergeCell ref="H51:H52"/>
    <mergeCell ref="I51:I52"/>
    <mergeCell ref="B49:B50"/>
    <mergeCell ref="C49:C50"/>
    <mergeCell ref="D49:D50"/>
    <mergeCell ref="F49:F50"/>
    <mergeCell ref="G49:G50"/>
    <mergeCell ref="H49:H50"/>
    <mergeCell ref="K45:K46"/>
    <mergeCell ref="B47:B48"/>
    <mergeCell ref="C47:C48"/>
    <mergeCell ref="D47:D48"/>
    <mergeCell ref="F47:F48"/>
    <mergeCell ref="G47:G48"/>
    <mergeCell ref="H47:H48"/>
    <mergeCell ref="I47:I48"/>
    <mergeCell ref="J47:J48"/>
    <mergeCell ref="K47:K48"/>
    <mergeCell ref="J43:J44"/>
    <mergeCell ref="K43:K44"/>
    <mergeCell ref="B45:B46"/>
    <mergeCell ref="C45:C46"/>
    <mergeCell ref="D45:D46"/>
    <mergeCell ref="F45:F46"/>
    <mergeCell ref="G45:G46"/>
    <mergeCell ref="H45:H46"/>
    <mergeCell ref="I45:I46"/>
    <mergeCell ref="J45:J46"/>
    <mergeCell ref="I41:I42"/>
    <mergeCell ref="J41:J42"/>
    <mergeCell ref="K41:K42"/>
    <mergeCell ref="B43:B44"/>
    <mergeCell ref="C43:C44"/>
    <mergeCell ref="D43:D44"/>
    <mergeCell ref="F43:F44"/>
    <mergeCell ref="G43:G44"/>
    <mergeCell ref="H43:H44"/>
    <mergeCell ref="I43:I44"/>
    <mergeCell ref="B41:B42"/>
    <mergeCell ref="C41:C42"/>
    <mergeCell ref="D41:D42"/>
    <mergeCell ref="F41:F42"/>
    <mergeCell ref="G41:G42"/>
    <mergeCell ref="H41:H42"/>
    <mergeCell ref="K37:K38"/>
    <mergeCell ref="B39:B40"/>
    <mergeCell ref="C39:C40"/>
    <mergeCell ref="D39:D40"/>
    <mergeCell ref="F39:F40"/>
    <mergeCell ref="G39:G40"/>
    <mergeCell ref="H39:H40"/>
    <mergeCell ref="I39:I40"/>
    <mergeCell ref="J39:J40"/>
    <mergeCell ref="K39:K40"/>
    <mergeCell ref="J35:J36"/>
    <mergeCell ref="K35:K36"/>
    <mergeCell ref="B37:B38"/>
    <mergeCell ref="C37:C38"/>
    <mergeCell ref="D37:D38"/>
    <mergeCell ref="F37:F38"/>
    <mergeCell ref="G37:G38"/>
    <mergeCell ref="H37:H38"/>
    <mergeCell ref="I37:I38"/>
    <mergeCell ref="J37:J38"/>
    <mergeCell ref="I33:I34"/>
    <mergeCell ref="J33:J34"/>
    <mergeCell ref="K33:K34"/>
    <mergeCell ref="B35:B36"/>
    <mergeCell ref="C35:C36"/>
    <mergeCell ref="D35:D36"/>
    <mergeCell ref="F35:F36"/>
    <mergeCell ref="G35:G36"/>
    <mergeCell ref="H35:H36"/>
    <mergeCell ref="I35:I36"/>
    <mergeCell ref="B33:B34"/>
    <mergeCell ref="C33:C34"/>
    <mergeCell ref="D33:D34"/>
    <mergeCell ref="F33:F34"/>
    <mergeCell ref="G33:G34"/>
    <mergeCell ref="H33:H34"/>
    <mergeCell ref="K29:K30"/>
    <mergeCell ref="B31:B32"/>
    <mergeCell ref="C31:C32"/>
    <mergeCell ref="D31:D32"/>
    <mergeCell ref="F31:F32"/>
    <mergeCell ref="G31:G32"/>
    <mergeCell ref="H31:H32"/>
    <mergeCell ref="I31:I32"/>
    <mergeCell ref="J31:J32"/>
    <mergeCell ref="K31:K32"/>
    <mergeCell ref="J27:J28"/>
    <mergeCell ref="K27:K28"/>
    <mergeCell ref="B29:B30"/>
    <mergeCell ref="C29:C30"/>
    <mergeCell ref="D29:D30"/>
    <mergeCell ref="F29:F30"/>
    <mergeCell ref="G29:G30"/>
    <mergeCell ref="H29:H30"/>
    <mergeCell ref="I29:I30"/>
    <mergeCell ref="J29:J30"/>
    <mergeCell ref="I25:I26"/>
    <mergeCell ref="J25:J26"/>
    <mergeCell ref="K25:K26"/>
    <mergeCell ref="B27:B28"/>
    <mergeCell ref="C27:C28"/>
    <mergeCell ref="D27:D28"/>
    <mergeCell ref="F27:F28"/>
    <mergeCell ref="G27:G28"/>
    <mergeCell ref="H27:H28"/>
    <mergeCell ref="I27:I28"/>
    <mergeCell ref="B25:B26"/>
    <mergeCell ref="C25:C26"/>
    <mergeCell ref="D25:D26"/>
    <mergeCell ref="F25:F26"/>
    <mergeCell ref="G25:G26"/>
    <mergeCell ref="H25:H26"/>
    <mergeCell ref="K21:K22"/>
    <mergeCell ref="B23:B24"/>
    <mergeCell ref="C23:C24"/>
    <mergeCell ref="D23:D24"/>
    <mergeCell ref="F23:F24"/>
    <mergeCell ref="G23:G24"/>
    <mergeCell ref="H23:H24"/>
    <mergeCell ref="I23:I24"/>
    <mergeCell ref="J23:J24"/>
    <mergeCell ref="K23:K24"/>
    <mergeCell ref="J19:J20"/>
    <mergeCell ref="K19:K20"/>
    <mergeCell ref="B21:B22"/>
    <mergeCell ref="C21:C22"/>
    <mergeCell ref="D21:D22"/>
    <mergeCell ref="F21:F22"/>
    <mergeCell ref="G21:G22"/>
    <mergeCell ref="H21:H22"/>
    <mergeCell ref="I21:I22"/>
    <mergeCell ref="J21:J22"/>
    <mergeCell ref="I17:I18"/>
    <mergeCell ref="J17:J18"/>
    <mergeCell ref="K17:K18"/>
    <mergeCell ref="B19:B20"/>
    <mergeCell ref="C19:C20"/>
    <mergeCell ref="D19:D20"/>
    <mergeCell ref="F19:F20"/>
    <mergeCell ref="G19:G20"/>
    <mergeCell ref="H19:H20"/>
    <mergeCell ref="I19:I20"/>
    <mergeCell ref="B17:B18"/>
    <mergeCell ref="C17:C18"/>
    <mergeCell ref="D17:D18"/>
    <mergeCell ref="F17:F18"/>
    <mergeCell ref="G17:G18"/>
    <mergeCell ref="H17:H18"/>
    <mergeCell ref="K13:K14"/>
    <mergeCell ref="B15:B16"/>
    <mergeCell ref="C15:C16"/>
    <mergeCell ref="D15:D16"/>
    <mergeCell ref="F15:F16"/>
    <mergeCell ref="G15:G16"/>
    <mergeCell ref="H15:H16"/>
    <mergeCell ref="I15:I16"/>
    <mergeCell ref="J15:J16"/>
    <mergeCell ref="K15:K16"/>
    <mergeCell ref="J11:J12"/>
    <mergeCell ref="K11:K12"/>
    <mergeCell ref="B13:B14"/>
    <mergeCell ref="C13:C14"/>
    <mergeCell ref="D13:D14"/>
    <mergeCell ref="F13:F14"/>
    <mergeCell ref="G13:G14"/>
    <mergeCell ref="H13:H14"/>
    <mergeCell ref="I13:I14"/>
    <mergeCell ref="J13:J14"/>
    <mergeCell ref="I9:I10"/>
    <mergeCell ref="J9:J10"/>
    <mergeCell ref="K9:K10"/>
    <mergeCell ref="B11:B12"/>
    <mergeCell ref="C11:C12"/>
    <mergeCell ref="D11:D12"/>
    <mergeCell ref="F11:F12"/>
    <mergeCell ref="G11:G12"/>
    <mergeCell ref="H11:H12"/>
    <mergeCell ref="I11:I12"/>
    <mergeCell ref="B9:B10"/>
    <mergeCell ref="C9:C10"/>
    <mergeCell ref="D9:D10"/>
    <mergeCell ref="F9:F10"/>
    <mergeCell ref="G9:G10"/>
    <mergeCell ref="H9:H10"/>
    <mergeCell ref="G7:G8"/>
    <mergeCell ref="H7:H8"/>
    <mergeCell ref="J7:J8"/>
    <mergeCell ref="K7:K8"/>
    <mergeCell ref="G5:G6"/>
    <mergeCell ref="H5:H6"/>
    <mergeCell ref="I5:I6"/>
    <mergeCell ref="J5:J6"/>
    <mergeCell ref="K5:K6"/>
    <mergeCell ref="I7:I8"/>
    <mergeCell ref="D5:D6"/>
    <mergeCell ref="F5:F6"/>
    <mergeCell ref="B7:B8"/>
    <mergeCell ref="C7:C8"/>
    <mergeCell ref="D7:D8"/>
    <mergeCell ref="F7:F8"/>
  </mergeCells>
  <hyperlinks>
    <hyperlink ref="E6" r:id="rId1" display="https://prozorro.gov.ua/plan/UA-P-2018-01-16-004178-a"/>
    <hyperlink ref="F5" r:id="rId2" tooltip="Бензин (Бензин А-92)" display="https://bid.e-tender.biz/#/updatePlan/a3f4b944c7814686955bf695e5735a25"/>
    <hyperlink ref="E8" r:id="rId3" display="https://prozorro.gov.ua/plan/UA-P-2018-01-16-004177-a"/>
    <hyperlink ref="F7" r:id="rId4" tooltip="Фармацевтична продукція, Антисептичні та дезінфекційні засоби, Наркотичні середники (33600000-6 (33631600-8)) (Антисептичні та дезінфекційні засоби, Sodium chloride (натрію хлорид), Glucose (глюкоза), Epinephrine (адреналін), Ammonia (аміаку р-н), Metamiz" display="https://bid.e-tender.biz/#/updatePlan/9dcd4f38c783457cb304de08015506ef"/>
    <hyperlink ref="E10" r:id="rId5" display="https://prozorro.gov.ua/plan/UA-P-2018-01-16-004170-a"/>
    <hyperlink ref="F9" r:id="rId6" tooltip="Знаряддя, замки, ключі та петлі, кріпильні деталі, ланцюги, пружини (молотки, ключі, викрутки, сверла, шайби, набори інструментів)" display="https://bid.e-tender.biz/#/updatePlan/63992852bb5846c58c360eb231387371"/>
    <hyperlink ref="E12" r:id="rId7" display="https://prozorro.gov.ua/plan/UA-P-2018-01-16-004167-a"/>
    <hyperlink ref="F11" r:id="rId8" tooltip="Друкована продукція різна (Плівка одноканальна пишуча не чорнильна)" display="https://bid.e-tender.biz/#/updatePlan/55358200f82149f89cfd50ffdfa33354"/>
    <hyperlink ref="E14" r:id="rId9" display="https://prozorro.gov.ua/plan/UA-P-2018-01-16-004165-a"/>
    <hyperlink ref="F13" r:id="rId10" tooltip="Конструкційні матеріали та супутні вироби (Цемент, труби та арматура, цвяхи, фарби, розчинники будівельні, труби, коліна до труб)" display="https://bid.e-tender.biz/#/updatePlan/50c0a76591744bc392d20f50c9d04b37"/>
    <hyperlink ref="E16" r:id="rId11" display="https://prozorro.gov.ua/plan/UA-P-2018-01-16-004164-a"/>
    <hyperlink ref="F15" r:id="rId12" tooltip="Вапно" display="https://bid.e-tender.biz/#/updatePlan/4bbb3356bb1d401499df516133465812"/>
    <hyperlink ref="E18" r:id="rId13" display="https://prozorro.gov.ua/plan/UA-P-2018-01-16-004154-a"/>
    <hyperlink ref="F17" r:id="rId14" tooltip="Поліетиленові мішки та пакети для сміття" display="https://bid.e-tender.biz/#/updatePlan/04223862f7854eb587b052126599a5bb"/>
    <hyperlink ref="E20" r:id="rId15" display="https://prozorro.gov.ua/plan/UA-P-2018-01-16-004188-a"/>
    <hyperlink ref="F19" r:id="rId16" tooltip="Ізольовані дроти та кабелі" display="https://bid.e-tender.biz/#/updatePlan/eef92f92ae9644dbb491ddd14c6b5784"/>
    <hyperlink ref="E22" r:id="rId17" display="https://prozorro.gov.ua/plan/UA-P-2018-01-16-004185-a"/>
    <hyperlink ref="F21" r:id="rId18" tooltip="Вироби для ванної кімнати та кухні" display="https://bid.e-tender.biz/#/updatePlan/eabef8729c9d4ba89ca703dbc54b491f"/>
    <hyperlink ref="E24" r:id="rId19" display="https://prozorro.gov.ua/plan/UA-P-2018-01-16-004184-a"/>
    <hyperlink ref="F23" r:id="rId20" tooltip="Охоронні послуги (Послуги з моніторингу сигналів тривоги, що надходять з пристроїв охоронної сигналізації)" display="https://bid.e-tender.biz/#/updatePlan/c2baf42c1d1c4ba9a1d14cc0aca21503"/>
    <hyperlink ref="E26" r:id="rId21" display="https://prozorro.gov.ua/plan/UA-P-2018-01-16-004175-a"/>
    <hyperlink ref="F25" r:id="rId22" tooltip="Паперові чи картонні реєстраційні журнали, бухгалтерські книги, швидкозшивачі, бланки та інші паперові канцелярські вироби" display="https://bid.e-tender.biz/#/updatePlan/947694e38dd94b4b9b83f1739ced610f"/>
    <hyperlink ref="E28" r:id="rId23" display="https://prozorro.gov.ua/plan/UA-P-2018-01-16-004174-a"/>
    <hyperlink ref="F27" r:id="rId24" tooltip="Освітлювальне обладнання та електричні лампи" display="https://bid.e-tender.biz/#/updatePlan/8ffc72fc8eea416a9d65857d60738601"/>
    <hyperlink ref="E30" r:id="rId25" display="https://prozorro.gov.ua/plan/UA-P-2018-01-16-004172-a"/>
    <hyperlink ref="F29" r:id="rId26" tooltip="Електророзподільна та контрольна апаратура" display="https://bid.e-tender.biz/#/updatePlan/806e4bc896f049db9390938a464fa2cc"/>
    <hyperlink ref="E32" r:id="rId27" display="https://prozorro.gov.ua/plan/UA-P-2018-01-16-004171-a"/>
    <hyperlink ref="F31" r:id="rId28" tooltip="Туалетний папір, носові хустинки, рушники для рук і серветки" display="https://bid.e-tender.biz/#/updatePlan/773fd34576dc486cbd54d50be375b905"/>
    <hyperlink ref="E34" r:id="rId29" display="https://prozorro.gov.ua/plan/UA-P-2018-01-16-004169-a"/>
    <hyperlink ref="F33" r:id="rId30" tooltip="Комп’ютерне обладнання та приладдя" display="https://bid.e-tender.biz/#/updatePlan/62e7d3e6e8d444609501e4947e974256"/>
    <hyperlink ref="E36" r:id="rId31" display="https://prozorro.gov.ua/plan/UA-P-2018-01-16-004168-a"/>
    <hyperlink ref="F35" r:id="rId32" tooltip="Пара, гаряча вода та пов’язана продукція" display="https://bid.e-tender.biz/#/updatePlan/5da5f278304e462894724ba3dac97f43"/>
    <hyperlink ref="E38" r:id="rId33" display="https://prozorro.gov.ua/plan/UA-P-2018-01-16-004166-a"/>
    <hyperlink ref="F37" r:id="rId34" tooltip="Офісні техніка, устаткування та приладдя, крім комп’ютерів, принтерів та меблів (Папір ксероксний, офісне приладдя, дрібне канцелярське приладдя)" display="https://bid.e-tender.biz/#/updatePlan/5378c3fde3624332a7473ec34189026c"/>
    <hyperlink ref="E40" r:id="rId35" display="https://prozorro.gov.ua/plan/UA-P-2018-01-16-004160-a"/>
    <hyperlink ref="F39" r:id="rId36" tooltip="Текстильні вироби (Ковдри, подушки, лікарняна білизна)" display="https://bid.e-tender.biz/#/updatePlan/3ad69440644f493d997ec27a61748ee7"/>
    <hyperlink ref="E42" r:id="rId37" display="https://prozorro.gov.ua/plan/UA-P-2018-01-16-004157-a"/>
    <hyperlink ref="F41" r:id="rId38" tooltip="Мастильні засоби (Масло)" display="https://bid.e-tender.biz/#/updatePlan/1f4303c3439c40e5a8c4dfb4a41e2abe"/>
    <hyperlink ref="E44" r:id="rId39" display="https://prozorro.gov.ua/plan/UA-P-2018-01-16-004155-a"/>
    <hyperlink ref="F43" r:id="rId40" tooltip="Утилізація сміття та поводження зі сміттям (Вивіз сміття)" display="https://bid.e-tender.biz/#/updatePlan/1154ae3422fe4d3dac87d03b16c329af"/>
    <hyperlink ref="E46" r:id="rId41" display="https://prozorro.gov.ua/plan/UA-P-2018-01-16-004153-a"/>
    <hyperlink ref="F45" r:id="rId42" tooltip="Пластмасові вироби (Відра пластмасові, совки, пластмасові ємкості)" display="https://bid.e-tender.biz/#/updatePlan/00e3749ee5534138be746eac992657d0"/>
    <hyperlink ref="E48" r:id="rId43" display="https://prozorro.gov.ua/plan/UA-P-2018-01-16-004189-a"/>
    <hyperlink ref="F47" r:id="rId44" tooltip="Послуги з ремонту і технічного обслуговування автомобілів" display="https://bid.e-tender.biz/#/updatePlan/f932a227b5374105b35bd6bcd9ed15c8"/>
    <hyperlink ref="E50" r:id="rId45" display="https://prozorro.gov.ua/plan/UA-P-2018-01-16-004187-a"/>
    <hyperlink ref="F49" r:id="rId46" tooltip="Мітли, щітки та інше господарське приладдя" display="https://bid.e-tender.biz/#/updatePlan/eb2cb5cef6ac477fac26f296d983c2e3"/>
    <hyperlink ref="E52" r:id="rId47" display="https://prozorro.gov.ua/plan/UA-P-2018-01-16-004186-a"/>
    <hyperlink ref="F51" r:id="rId48" tooltip="Послуги телефонного зв’язку та передачі даних (послуги за телефон та інтернет)" display="https://bid.e-tender.biz/#/updatePlan/eaee170ac93b4090b5028b2636de94d1"/>
    <hyperlink ref="E54" r:id="rId49" display="https://prozorro.gov.ua/plan/UA-P-2018-01-16-004183-a"/>
    <hyperlink ref="F53" r:id="rId50" tooltip="Бланки (Рецептурні бланки ф. №3)" display="https://bid.e-tender.biz/#/updatePlan/c0c63698557c45d3b2f4c4c55075a85c"/>
    <hyperlink ref="E56" r:id="rId51" display="https://prozorro.gov.ua/plan/UA-P-2018-01-16-004182-a"/>
    <hyperlink ref="F55" r:id="rId52" tooltip="Очищення стічних вод" display="https://bid.e-tender.biz/#/updatePlan/b5e2e104c0824bdb917cdfe4a2e98ac1"/>
    <hyperlink ref="E58" r:id="rId53" display="https://prozorro.gov.ua/plan/UA-P-2018-01-16-004181-a"/>
    <hyperlink ref="F57" r:id="rId54" tooltip="Фарби, лаки, друкарська фарба та мастики (Фарби для вікон, підлоги та розчинники)" display="https://bid.e-tender.biz/#/updatePlan/b23758dcd0224e689352154d769babdd"/>
    <hyperlink ref="E60" r:id="rId55" display="https://prozorro.gov.ua/plan/UA-P-2018-01-16-004180-a"/>
    <hyperlink ref="F59" r:id="rId56" tooltip="Продукція для чищення та полірування" display="https://bid.e-tender.biz/#/updatePlan/afbf40c343f44cebbda302e8c4b0e83c"/>
    <hyperlink ref="E62" r:id="rId57" display="https://prozorro.gov.ua/plan/UA-P-2018-01-16-004179-a"/>
    <hyperlink ref="F61" r:id="rId58" tooltip="Спеціальний одяг та аксесуари (Одноразові рукавички)" display="https://bid.e-tender.biz/#/updatePlan/ac5fcea7c8fc4b5ca5b9240cae63e523"/>
    <hyperlink ref="E64" r:id="rId59" display="https://prozorro.gov.ua/plan/UA-P-2018-01-16-004176-a"/>
    <hyperlink ref="F63" r:id="rId60" tooltip="Технічне обслуговування і ремонт офісної техніки" display="https://bid.e-tender.biz/#/updatePlan/96215436cd7e44ccbd7ee9f2b7336906"/>
    <hyperlink ref="E66" r:id="rId61" display="https://prozorro.gov.ua/plan/UA-P-2018-01-16-004173-a"/>
    <hyperlink ref="F65" r:id="rId62" tooltip="Вогнегасники" display="https://bid.e-tender.biz/#/updatePlan/825bb66c70f047ee888d34344141a04f"/>
    <hyperlink ref="E68" r:id="rId63" display="https://prozorro.gov.ua/plan/UA-P-2018-01-16-004163-a"/>
    <hyperlink ref="F67" r:id="rId64" tooltip="Медичне обладнання (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 display="https://bid.e-tender.biz/#/updatePlan/4b1c8fb13c414d319dab03177a4821d0"/>
    <hyperlink ref="E70" r:id="rId65" display="https://prozorro.gov.ua/plan/UA-P-2018-01-16-004162-a"/>
    <hyperlink ref="F69" r:id="rId66" tooltip="Питна вода (Водопостачання)" display="https://bid.e-tender.biz/#/updatePlan/44a540e3ec5043b19fbe327ac4023310"/>
    <hyperlink ref="E72" r:id="rId67" display="https://prozorro.gov.ua/plan/UA-P-2018-01-16-004159-a"/>
    <hyperlink ref="F71" r:id="rId68" tooltip="Меблі" display="https://bid.e-tender.biz/#/updatePlan/3876a929742a42c78df064e3ad3f2611"/>
    <hyperlink ref="E74" r:id="rId69" display="https://prozorro.gov.ua/plan/UA-P-2018-01-16-004158-a"/>
    <hyperlink ref="F73" r:id="rId70" tooltip="Частини та приладдя до транспортних засобів і їх двигунів" display="https://bid.e-tender.biz/#/updatePlan/300312a93bf548619632d9527a6607c2"/>
    <hyperlink ref="E76" r:id="rId71" display="https://prozorro.gov.ua/plan/UA-P-2018-01-16-004156-a"/>
    <hyperlink ref="F75" r:id="rId72" tooltip="Електрична енергія" display="https://bid.e-tender.biz/#/updatePlan/1c71eedd2cf848caa1e1f4e19b36cce8"/>
  </hyperlinks>
  <printOptions/>
  <pageMargins left="0.7" right="0.7" top="0.75" bottom="0.75" header="0.3" footer="0.3"/>
  <pageSetup horizontalDpi="300" verticalDpi="300" orientation="portrait" paperSize="9" r:id="rId74"/>
  <drawing r:id="rId73"/>
</worksheet>
</file>

<file path=xl/worksheets/sheet4.xml><?xml version="1.0" encoding="utf-8"?>
<worksheet xmlns="http://schemas.openxmlformats.org/spreadsheetml/2006/main" xmlns:r="http://schemas.openxmlformats.org/officeDocument/2006/relationships">
  <dimension ref="A1:AK326"/>
  <sheetViews>
    <sheetView tabSelected="1" zoomScale="70" zoomScaleNormal="70" zoomScalePageLayoutView="0" workbookViewId="0" topLeftCell="B1">
      <selection activeCell="Q99" sqref="Q99"/>
    </sheetView>
  </sheetViews>
  <sheetFormatPr defaultColWidth="9.140625" defaultRowHeight="15"/>
  <cols>
    <col min="1" max="1" width="4.8515625" style="139" hidden="1" customWidth="1"/>
    <col min="2" max="2" width="73.140625" style="139" customWidth="1"/>
    <col min="3" max="3" width="7.140625" style="140" customWidth="1"/>
    <col min="4" max="4" width="8.140625" style="140" customWidth="1"/>
    <col min="5" max="5" width="7.7109375" style="140" customWidth="1"/>
    <col min="6" max="6" width="16.8515625" style="303" customWidth="1"/>
    <col min="7" max="7" width="12.140625" style="303" customWidth="1"/>
    <col min="8" max="8" width="12.8515625" style="303" customWidth="1"/>
    <col min="9" max="9" width="14.8515625" style="303" customWidth="1"/>
    <col min="10" max="10" width="15.00390625" style="303" customWidth="1"/>
    <col min="11" max="11" width="10.7109375" style="139" hidden="1" customWidth="1"/>
    <col min="12" max="12" width="22.00390625" style="158" hidden="1" customWidth="1"/>
    <col min="13" max="13" width="51.28125" style="139" hidden="1" customWidth="1"/>
    <col min="14" max="14" width="21.00390625" style="139" hidden="1" customWidth="1"/>
    <col min="15" max="16" width="21.140625" style="139" hidden="1" customWidth="1"/>
    <col min="17" max="18" width="17.00390625" style="139" hidden="1" customWidth="1"/>
    <col min="19" max="19" width="17.8515625" style="139" hidden="1" customWidth="1"/>
    <col min="20" max="23" width="18.57421875" style="139" hidden="1" customWidth="1"/>
    <col min="24" max="25" width="9.140625" style="139" hidden="1" customWidth="1"/>
    <col min="26" max="26" width="18.57421875" style="139" hidden="1" customWidth="1"/>
    <col min="27" max="28" width="9.140625" style="139" hidden="1" customWidth="1"/>
    <col min="29" max="29" width="17.28125" style="0" hidden="1" customWidth="1"/>
    <col min="30" max="30" width="86.140625" style="0" hidden="1" customWidth="1"/>
    <col min="31" max="31" width="13.140625" style="53" hidden="1" customWidth="1"/>
    <col min="32" max="32" width="18.140625" style="345" hidden="1" customWidth="1"/>
    <col min="33" max="33" width="17.57421875" style="349" hidden="1" customWidth="1"/>
    <col min="34" max="34" width="17.00390625" style="349" hidden="1" customWidth="1"/>
    <col min="35" max="35" width="18.28125" style="349" hidden="1" customWidth="1"/>
    <col min="36" max="36" width="9.140625" style="139" hidden="1" customWidth="1"/>
    <col min="37" max="37" width="19.140625" style="139" hidden="1" customWidth="1"/>
    <col min="38" max="42" width="9.140625" style="139" hidden="1" customWidth="1"/>
    <col min="43" max="16384" width="9.140625" style="139" customWidth="1"/>
  </cols>
  <sheetData>
    <row r="1" spans="7:35" ht="37.5">
      <c r="G1" s="303" t="s">
        <v>453</v>
      </c>
      <c r="AC1" s="373" t="s">
        <v>662</v>
      </c>
      <c r="AD1" s="373"/>
      <c r="AE1" s="61"/>
      <c r="AF1" s="340" t="s">
        <v>451</v>
      </c>
      <c r="AG1" s="350" t="s">
        <v>896</v>
      </c>
      <c r="AH1" s="348" t="s">
        <v>320</v>
      </c>
      <c r="AI1" s="347" t="s">
        <v>321</v>
      </c>
    </row>
    <row r="2" spans="2:35" ht="18.75">
      <c r="B2" s="140"/>
      <c r="E2" s="139"/>
      <c r="F2" s="303" t="s">
        <v>454</v>
      </c>
      <c r="AC2" s="71"/>
      <c r="AD2" s="71"/>
      <c r="AE2" s="252"/>
      <c r="AG2" s="350" t="s">
        <v>451</v>
      </c>
      <c r="AI2" s="348"/>
    </row>
    <row r="3" spans="2:37" ht="18.75">
      <c r="B3" s="140"/>
      <c r="E3" s="139"/>
      <c r="F3" s="303" t="s">
        <v>904</v>
      </c>
      <c r="AC3" s="35" t="s">
        <v>782</v>
      </c>
      <c r="AD3" s="364" t="s">
        <v>783</v>
      </c>
      <c r="AE3" s="280">
        <v>400000</v>
      </c>
      <c r="AF3" s="341">
        <v>314424</v>
      </c>
      <c r="AG3" s="352">
        <f>AF3</f>
        <v>314424</v>
      </c>
      <c r="AH3" s="353">
        <v>314424</v>
      </c>
      <c r="AI3" s="354">
        <f aca="true" t="shared" si="0" ref="AI3:AI66">AG3-AH3</f>
        <v>0</v>
      </c>
      <c r="AK3" s="354"/>
    </row>
    <row r="4" spans="2:37" ht="18.75">
      <c r="B4" s="140"/>
      <c r="E4" s="139"/>
      <c r="AC4" s="25" t="s">
        <v>160</v>
      </c>
      <c r="AD4" s="29" t="s">
        <v>611</v>
      </c>
      <c r="AE4" s="280">
        <v>4000</v>
      </c>
      <c r="AF4" s="341">
        <v>9000</v>
      </c>
      <c r="AG4" s="352">
        <f aca="true" t="shared" si="1" ref="AG4:AG64">AF4</f>
        <v>9000</v>
      </c>
      <c r="AH4" s="353">
        <v>6990</v>
      </c>
      <c r="AI4" s="354">
        <f t="shared" si="0"/>
        <v>2010</v>
      </c>
      <c r="AK4" s="354"/>
    </row>
    <row r="5" spans="2:37" ht="18.75">
      <c r="B5" s="140"/>
      <c r="E5" s="139"/>
      <c r="F5" s="303" t="s">
        <v>456</v>
      </c>
      <c r="I5" s="303" t="s">
        <v>457</v>
      </c>
      <c r="AC5" s="25" t="s">
        <v>328</v>
      </c>
      <c r="AD5" s="25" t="s">
        <v>327</v>
      </c>
      <c r="AE5" s="280"/>
      <c r="AF5" s="341">
        <v>5542.8</v>
      </c>
      <c r="AG5" s="352">
        <f t="shared" si="1"/>
        <v>5542.8</v>
      </c>
      <c r="AH5" s="353">
        <v>5542.8</v>
      </c>
      <c r="AI5" s="354">
        <f t="shared" si="0"/>
        <v>0</v>
      </c>
      <c r="AK5" s="354"/>
    </row>
    <row r="6" spans="29:37" ht="18.75">
      <c r="AC6" s="25" t="s">
        <v>829</v>
      </c>
      <c r="AD6" s="25" t="s">
        <v>867</v>
      </c>
      <c r="AE6" s="280"/>
      <c r="AF6" s="341">
        <v>250</v>
      </c>
      <c r="AG6" s="352">
        <f t="shared" si="1"/>
        <v>250</v>
      </c>
      <c r="AH6" s="353">
        <v>0</v>
      </c>
      <c r="AI6" s="354">
        <f t="shared" si="0"/>
        <v>250</v>
      </c>
      <c r="AK6" s="354"/>
    </row>
    <row r="7" spans="8:37" ht="18.75">
      <c r="H7" s="304" t="s">
        <v>458</v>
      </c>
      <c r="I7" s="368"/>
      <c r="AC7" s="25" t="s">
        <v>831</v>
      </c>
      <c r="AD7" s="25" t="s">
        <v>830</v>
      </c>
      <c r="AE7" s="280"/>
      <c r="AF7" s="341">
        <v>8000</v>
      </c>
      <c r="AG7" s="352">
        <f t="shared" si="1"/>
        <v>8000</v>
      </c>
      <c r="AH7" s="353">
        <v>2100</v>
      </c>
      <c r="AI7" s="354">
        <f t="shared" si="0"/>
        <v>5900</v>
      </c>
      <c r="AK7" s="354"/>
    </row>
    <row r="8" spans="8:37" ht="18.75">
      <c r="H8" s="304" t="s">
        <v>460</v>
      </c>
      <c r="I8" s="368"/>
      <c r="AC8" s="25" t="s">
        <v>868</v>
      </c>
      <c r="AD8" s="25" t="s">
        <v>869</v>
      </c>
      <c r="AE8" s="276"/>
      <c r="AF8" s="351">
        <v>15999.9</v>
      </c>
      <c r="AG8" s="352">
        <f t="shared" si="1"/>
        <v>15999.9</v>
      </c>
      <c r="AH8" s="353">
        <v>15999.9</v>
      </c>
      <c r="AI8" s="354">
        <f t="shared" si="0"/>
        <v>0</v>
      </c>
      <c r="AK8" s="354"/>
    </row>
    <row r="9" spans="8:37" ht="18.75">
      <c r="H9" s="304" t="s">
        <v>461</v>
      </c>
      <c r="I9" s="368"/>
      <c r="AC9" s="35" t="s">
        <v>167</v>
      </c>
      <c r="AD9" s="35" t="s">
        <v>274</v>
      </c>
      <c r="AE9" s="280">
        <v>6000</v>
      </c>
      <c r="AF9" s="341">
        <v>6000</v>
      </c>
      <c r="AG9" s="352">
        <f t="shared" si="1"/>
        <v>6000</v>
      </c>
      <c r="AH9" s="353">
        <v>2732.5</v>
      </c>
      <c r="AI9" s="354">
        <f t="shared" si="0"/>
        <v>3267.5</v>
      </c>
      <c r="AK9" s="354"/>
    </row>
    <row r="10" spans="8:37" ht="18.75">
      <c r="H10" s="304" t="s">
        <v>462</v>
      </c>
      <c r="I10" s="368" t="s">
        <v>459</v>
      </c>
      <c r="AC10" s="35" t="s">
        <v>170</v>
      </c>
      <c r="AD10" s="35" t="s">
        <v>171</v>
      </c>
      <c r="AE10" s="280">
        <v>1000</v>
      </c>
      <c r="AF10" s="341">
        <v>2500</v>
      </c>
      <c r="AG10" s="352">
        <f t="shared" si="1"/>
        <v>2500</v>
      </c>
      <c r="AH10" s="353">
        <v>1320</v>
      </c>
      <c r="AI10" s="354">
        <f t="shared" si="0"/>
        <v>1180</v>
      </c>
      <c r="AK10" s="354"/>
    </row>
    <row r="11" spans="8:37" ht="18.75">
      <c r="H11" s="444" t="s">
        <v>463</v>
      </c>
      <c r="I11" s="445"/>
      <c r="AC11" s="35" t="s">
        <v>870</v>
      </c>
      <c r="AD11" s="35" t="s">
        <v>871</v>
      </c>
      <c r="AE11" s="280"/>
      <c r="AF11" s="341">
        <v>2000</v>
      </c>
      <c r="AG11" s="352">
        <f t="shared" si="1"/>
        <v>2000</v>
      </c>
      <c r="AH11" s="353">
        <v>780</v>
      </c>
      <c r="AI11" s="354">
        <f t="shared" si="0"/>
        <v>1220</v>
      </c>
      <c r="AK11" s="354"/>
    </row>
    <row r="12" spans="29:37" ht="18.75">
      <c r="AC12" s="25" t="s">
        <v>704</v>
      </c>
      <c r="AD12" s="29" t="s">
        <v>705</v>
      </c>
      <c r="AE12" s="280">
        <v>30000</v>
      </c>
      <c r="AF12" s="341">
        <v>30000</v>
      </c>
      <c r="AG12" s="352">
        <f t="shared" si="1"/>
        <v>30000</v>
      </c>
      <c r="AH12" s="353">
        <v>0</v>
      </c>
      <c r="AI12" s="354">
        <f t="shared" si="0"/>
        <v>30000</v>
      </c>
      <c r="AK12" s="354"/>
    </row>
    <row r="13" spans="3:37" ht="31.5">
      <c r="C13" s="429"/>
      <c r="D13" s="429"/>
      <c r="E13" s="429"/>
      <c r="F13" s="429"/>
      <c r="I13" s="446" t="s">
        <v>464</v>
      </c>
      <c r="J13" s="446"/>
      <c r="AC13" s="25" t="s">
        <v>854</v>
      </c>
      <c r="AD13" s="25" t="s">
        <v>853</v>
      </c>
      <c r="AE13" s="280"/>
      <c r="AF13" s="341">
        <v>37000</v>
      </c>
      <c r="AG13" s="352">
        <f t="shared" si="1"/>
        <v>37000</v>
      </c>
      <c r="AH13" s="353">
        <v>18440</v>
      </c>
      <c r="AI13" s="354">
        <f t="shared" si="0"/>
        <v>18560</v>
      </c>
      <c r="AK13" s="354"/>
    </row>
    <row r="14" spans="2:37" ht="18.75">
      <c r="B14" s="144" t="s">
        <v>465</v>
      </c>
      <c r="C14" s="431" t="s">
        <v>466</v>
      </c>
      <c r="D14" s="431"/>
      <c r="E14" s="431"/>
      <c r="F14" s="431"/>
      <c r="G14" s="431"/>
      <c r="H14" s="305"/>
      <c r="I14" s="304" t="s">
        <v>467</v>
      </c>
      <c r="J14" s="368">
        <v>39007143</v>
      </c>
      <c r="AC14" s="25" t="s">
        <v>706</v>
      </c>
      <c r="AD14" s="25" t="s">
        <v>709</v>
      </c>
      <c r="AE14" s="280">
        <v>5000</v>
      </c>
      <c r="AF14" s="341">
        <v>49100</v>
      </c>
      <c r="AG14" s="352">
        <f t="shared" si="1"/>
        <v>49100</v>
      </c>
      <c r="AH14" s="353">
        <v>48932.83</v>
      </c>
      <c r="AI14" s="354">
        <f t="shared" si="0"/>
        <v>167.16999999999825</v>
      </c>
      <c r="AK14" s="354"/>
    </row>
    <row r="15" spans="2:37" ht="18.75">
      <c r="B15" s="144" t="s">
        <v>468</v>
      </c>
      <c r="C15" s="424" t="s">
        <v>469</v>
      </c>
      <c r="D15" s="424"/>
      <c r="E15" s="424"/>
      <c r="F15" s="424"/>
      <c r="G15" s="306"/>
      <c r="H15" s="307"/>
      <c r="I15" s="304" t="s">
        <v>470</v>
      </c>
      <c r="J15" s="368">
        <v>150</v>
      </c>
      <c r="AC15" s="25" t="s">
        <v>217</v>
      </c>
      <c r="AD15" s="25" t="s">
        <v>708</v>
      </c>
      <c r="AE15" s="280">
        <v>30500</v>
      </c>
      <c r="AF15" s="341">
        <v>38500</v>
      </c>
      <c r="AG15" s="352">
        <f t="shared" si="1"/>
        <v>38500</v>
      </c>
      <c r="AH15" s="353">
        <v>30581.1</v>
      </c>
      <c r="AI15" s="354">
        <f t="shared" si="0"/>
        <v>7918.9000000000015</v>
      </c>
      <c r="AK15" s="354"/>
    </row>
    <row r="16" spans="2:37" ht="18.75">
      <c r="B16" s="144" t="s">
        <v>471</v>
      </c>
      <c r="C16" s="424" t="s">
        <v>472</v>
      </c>
      <c r="D16" s="424"/>
      <c r="E16" s="424"/>
      <c r="F16" s="424"/>
      <c r="G16" s="306"/>
      <c r="H16" s="307"/>
      <c r="I16" s="304" t="s">
        <v>473</v>
      </c>
      <c r="J16" s="368">
        <v>2610600000</v>
      </c>
      <c r="AC16" s="25" t="s">
        <v>707</v>
      </c>
      <c r="AD16" s="25" t="s">
        <v>710</v>
      </c>
      <c r="AE16" s="280">
        <v>5000</v>
      </c>
      <c r="AF16" s="341">
        <v>5000</v>
      </c>
      <c r="AG16" s="352">
        <f t="shared" si="1"/>
        <v>5000</v>
      </c>
      <c r="AH16" s="353">
        <v>1136</v>
      </c>
      <c r="AI16" s="354">
        <f t="shared" si="0"/>
        <v>3864</v>
      </c>
      <c r="AK16" s="354"/>
    </row>
    <row r="17" spans="2:37" ht="31.5">
      <c r="B17" s="144" t="s">
        <v>474</v>
      </c>
      <c r="C17" s="424"/>
      <c r="D17" s="424"/>
      <c r="E17" s="424"/>
      <c r="F17" s="424"/>
      <c r="G17" s="308"/>
      <c r="H17" s="305"/>
      <c r="I17" s="304" t="s">
        <v>475</v>
      </c>
      <c r="J17" s="368"/>
      <c r="AC17" s="25" t="s">
        <v>711</v>
      </c>
      <c r="AD17" s="25" t="s">
        <v>778</v>
      </c>
      <c r="AE17" s="280">
        <v>45000</v>
      </c>
      <c r="AF17" s="341">
        <v>45000</v>
      </c>
      <c r="AG17" s="352">
        <f t="shared" si="1"/>
        <v>45000</v>
      </c>
      <c r="AH17" s="353">
        <v>23601</v>
      </c>
      <c r="AI17" s="354">
        <f t="shared" si="0"/>
        <v>21399</v>
      </c>
      <c r="AK17" s="354"/>
    </row>
    <row r="18" spans="2:37" ht="31.5">
      <c r="B18" s="144" t="s">
        <v>476</v>
      </c>
      <c r="C18" s="424"/>
      <c r="D18" s="424"/>
      <c r="E18" s="424"/>
      <c r="F18" s="424"/>
      <c r="G18" s="308"/>
      <c r="H18" s="305"/>
      <c r="I18" s="304" t="s">
        <v>477</v>
      </c>
      <c r="J18" s="368"/>
      <c r="AC18" s="25" t="s">
        <v>712</v>
      </c>
      <c r="AD18" s="25" t="s">
        <v>779</v>
      </c>
      <c r="AE18" s="280">
        <v>45000</v>
      </c>
      <c r="AF18" s="341">
        <v>45000</v>
      </c>
      <c r="AG18" s="352">
        <f t="shared" si="1"/>
        <v>45000</v>
      </c>
      <c r="AH18" s="353">
        <v>42717.15</v>
      </c>
      <c r="AI18" s="354">
        <f t="shared" si="0"/>
        <v>2282.8499999999985</v>
      </c>
      <c r="AK18" s="354"/>
    </row>
    <row r="19" spans="2:37" ht="18.75">
      <c r="B19" s="144" t="s">
        <v>478</v>
      </c>
      <c r="C19" s="424"/>
      <c r="D19" s="424"/>
      <c r="E19" s="424"/>
      <c r="F19" s="424"/>
      <c r="G19" s="308"/>
      <c r="H19" s="309"/>
      <c r="I19" s="310" t="s">
        <v>479</v>
      </c>
      <c r="J19" s="368" t="s">
        <v>480</v>
      </c>
      <c r="AC19" s="25" t="s">
        <v>713</v>
      </c>
      <c r="AD19" s="25" t="s">
        <v>179</v>
      </c>
      <c r="AE19" s="280">
        <v>45000</v>
      </c>
      <c r="AF19" s="341">
        <v>93822.05</v>
      </c>
      <c r="AG19" s="352">
        <f t="shared" si="1"/>
        <v>93822.05</v>
      </c>
      <c r="AH19" s="353">
        <v>90428</v>
      </c>
      <c r="AI19" s="354">
        <f t="shared" si="0"/>
        <v>3394.050000000003</v>
      </c>
      <c r="AK19" s="354"/>
    </row>
    <row r="20" spans="2:37" ht="18.75">
      <c r="B20" s="144" t="s">
        <v>481</v>
      </c>
      <c r="C20" s="424"/>
      <c r="D20" s="424"/>
      <c r="E20" s="424"/>
      <c r="F20" s="424"/>
      <c r="G20" s="447" t="s">
        <v>482</v>
      </c>
      <c r="H20" s="448"/>
      <c r="I20" s="449"/>
      <c r="J20" s="367" t="s">
        <v>459</v>
      </c>
      <c r="AC20" s="25" t="s">
        <v>714</v>
      </c>
      <c r="AD20" s="25" t="s">
        <v>715</v>
      </c>
      <c r="AE20" s="280">
        <v>1000</v>
      </c>
      <c r="AF20" s="341">
        <v>8000</v>
      </c>
      <c r="AG20" s="352">
        <f t="shared" si="1"/>
        <v>8000</v>
      </c>
      <c r="AH20" s="353">
        <v>7824</v>
      </c>
      <c r="AI20" s="354">
        <f t="shared" si="0"/>
        <v>176</v>
      </c>
      <c r="AK20" s="354"/>
    </row>
    <row r="21" spans="2:37" ht="18.75">
      <c r="B21" s="144" t="s">
        <v>483</v>
      </c>
      <c r="C21" s="424" t="s">
        <v>484</v>
      </c>
      <c r="D21" s="424"/>
      <c r="E21" s="424"/>
      <c r="F21" s="424"/>
      <c r="G21" s="447" t="s">
        <v>485</v>
      </c>
      <c r="H21" s="448"/>
      <c r="I21" s="449"/>
      <c r="J21" s="311"/>
      <c r="AC21" s="25" t="s">
        <v>717</v>
      </c>
      <c r="AD21" s="25" t="s">
        <v>716</v>
      </c>
      <c r="AE21" s="280">
        <v>2000</v>
      </c>
      <c r="AF21" s="341">
        <v>2500</v>
      </c>
      <c r="AG21" s="352">
        <f t="shared" si="1"/>
        <v>2500</v>
      </c>
      <c r="AH21" s="353">
        <v>2202</v>
      </c>
      <c r="AI21" s="354">
        <f t="shared" si="0"/>
        <v>298</v>
      </c>
      <c r="AK21" s="354"/>
    </row>
    <row r="22" spans="2:37" ht="18.75">
      <c r="B22" s="144" t="s">
        <v>486</v>
      </c>
      <c r="C22" s="421">
        <v>220</v>
      </c>
      <c r="D22" s="421"/>
      <c r="E22" s="421"/>
      <c r="F22" s="421"/>
      <c r="G22" s="308"/>
      <c r="H22" s="308"/>
      <c r="I22" s="308"/>
      <c r="J22" s="305"/>
      <c r="AC22" s="25" t="s">
        <v>753</v>
      </c>
      <c r="AD22" s="25" t="s">
        <v>754</v>
      </c>
      <c r="AE22" s="280">
        <v>500</v>
      </c>
      <c r="AF22" s="341">
        <v>500</v>
      </c>
      <c r="AG22" s="352">
        <f t="shared" si="1"/>
        <v>500</v>
      </c>
      <c r="AH22" s="353">
        <v>0</v>
      </c>
      <c r="AI22" s="354">
        <f t="shared" si="0"/>
        <v>500</v>
      </c>
      <c r="AK22" s="354"/>
    </row>
    <row r="23" spans="2:37" ht="18.75">
      <c r="B23" s="144" t="s">
        <v>487</v>
      </c>
      <c r="C23" s="424" t="s">
        <v>488</v>
      </c>
      <c r="D23" s="424"/>
      <c r="E23" s="424"/>
      <c r="F23" s="424"/>
      <c r="G23" s="424"/>
      <c r="H23" s="424"/>
      <c r="I23" s="424"/>
      <c r="J23" s="432"/>
      <c r="AC23" s="25" t="s">
        <v>326</v>
      </c>
      <c r="AD23" s="25" t="s">
        <v>325</v>
      </c>
      <c r="AE23" s="280">
        <v>7000</v>
      </c>
      <c r="AF23" s="341">
        <v>7000</v>
      </c>
      <c r="AG23" s="352">
        <f t="shared" si="1"/>
        <v>7000</v>
      </c>
      <c r="AH23" s="353">
        <v>0</v>
      </c>
      <c r="AI23" s="354">
        <f t="shared" si="0"/>
        <v>7000</v>
      </c>
      <c r="AK23" s="354"/>
    </row>
    <row r="24" spans="2:37" ht="18.75">
      <c r="B24" s="144" t="s">
        <v>489</v>
      </c>
      <c r="C24" s="420" t="s">
        <v>490</v>
      </c>
      <c r="D24" s="420"/>
      <c r="E24" s="420"/>
      <c r="F24" s="420"/>
      <c r="G24" s="308"/>
      <c r="H24" s="308"/>
      <c r="I24" s="308"/>
      <c r="J24" s="305"/>
      <c r="AC24" s="25" t="s">
        <v>833</v>
      </c>
      <c r="AD24" s="25" t="s">
        <v>832</v>
      </c>
      <c r="AE24" s="280"/>
      <c r="AF24" s="341">
        <v>6495.13</v>
      </c>
      <c r="AG24" s="352">
        <f t="shared" si="1"/>
        <v>6495.13</v>
      </c>
      <c r="AH24" s="353">
        <v>6495.13</v>
      </c>
      <c r="AI24" s="354">
        <f t="shared" si="0"/>
        <v>0</v>
      </c>
      <c r="AK24" s="354"/>
    </row>
    <row r="25" spans="2:37" ht="18.75">
      <c r="B25" s="144" t="s">
        <v>491</v>
      </c>
      <c r="C25" s="421" t="s">
        <v>900</v>
      </c>
      <c r="D25" s="421"/>
      <c r="E25" s="421"/>
      <c r="F25" s="421"/>
      <c r="G25" s="306"/>
      <c r="H25" s="306"/>
      <c r="I25" s="306"/>
      <c r="J25" s="307"/>
      <c r="AC25" s="25" t="s">
        <v>720</v>
      </c>
      <c r="AD25" s="25" t="s">
        <v>721</v>
      </c>
      <c r="AE25" s="280">
        <v>3000</v>
      </c>
      <c r="AF25" s="341">
        <v>3000</v>
      </c>
      <c r="AG25" s="352">
        <f t="shared" si="1"/>
        <v>3000</v>
      </c>
      <c r="AH25" s="353">
        <v>612</v>
      </c>
      <c r="AI25" s="354">
        <f t="shared" si="0"/>
        <v>2388</v>
      </c>
      <c r="AK25" s="354"/>
    </row>
    <row r="26" spans="29:37" ht="18.75">
      <c r="AC26" s="25" t="s">
        <v>718</v>
      </c>
      <c r="AD26" s="25" t="s">
        <v>719</v>
      </c>
      <c r="AE26" s="280">
        <v>3000</v>
      </c>
      <c r="AF26" s="341">
        <v>3000</v>
      </c>
      <c r="AG26" s="352">
        <f t="shared" si="1"/>
        <v>3000</v>
      </c>
      <c r="AH26" s="353">
        <v>0</v>
      </c>
      <c r="AI26" s="354">
        <f t="shared" si="0"/>
        <v>3000</v>
      </c>
      <c r="AK26" s="354"/>
    </row>
    <row r="27" spans="2:37" ht="18.75">
      <c r="B27" s="422" t="s">
        <v>670</v>
      </c>
      <c r="C27" s="422"/>
      <c r="D27" s="422"/>
      <c r="E27" s="422"/>
      <c r="F27" s="422"/>
      <c r="G27" s="422"/>
      <c r="H27" s="422"/>
      <c r="I27" s="422"/>
      <c r="J27" s="422"/>
      <c r="AC27" s="25" t="s">
        <v>834</v>
      </c>
      <c r="AD27" s="25" t="s">
        <v>872</v>
      </c>
      <c r="AE27" s="280"/>
      <c r="AF27" s="341">
        <v>10000</v>
      </c>
      <c r="AG27" s="352">
        <f t="shared" si="1"/>
        <v>10000</v>
      </c>
      <c r="AH27" s="353">
        <v>3560</v>
      </c>
      <c r="AI27" s="354">
        <f t="shared" si="0"/>
        <v>6440</v>
      </c>
      <c r="AK27" s="354"/>
    </row>
    <row r="28" spans="2:37" ht="18.75">
      <c r="B28" s="423"/>
      <c r="C28" s="423"/>
      <c r="D28" s="423"/>
      <c r="E28" s="423"/>
      <c r="F28" s="423"/>
      <c r="G28" s="423"/>
      <c r="H28" s="423"/>
      <c r="I28" s="423"/>
      <c r="J28" s="423"/>
      <c r="K28" s="154"/>
      <c r="L28" s="154"/>
      <c r="M28" s="154"/>
      <c r="N28" s="154"/>
      <c r="O28" s="154"/>
      <c r="P28" s="154"/>
      <c r="Q28" s="154"/>
      <c r="R28" s="154"/>
      <c r="AC28" s="25" t="s">
        <v>836</v>
      </c>
      <c r="AD28" s="25" t="s">
        <v>835</v>
      </c>
      <c r="AE28" s="280"/>
      <c r="AF28" s="341">
        <v>3500</v>
      </c>
      <c r="AG28" s="352">
        <f t="shared" si="1"/>
        <v>3500</v>
      </c>
      <c r="AH28" s="353">
        <v>2245</v>
      </c>
      <c r="AI28" s="354">
        <f t="shared" si="0"/>
        <v>1255</v>
      </c>
      <c r="AK28" s="354"/>
    </row>
    <row r="29" spans="2:37" ht="18.75">
      <c r="B29" s="153"/>
      <c r="C29" s="155"/>
      <c r="D29" s="153"/>
      <c r="E29" s="153"/>
      <c r="F29" s="312"/>
      <c r="G29" s="312"/>
      <c r="H29" s="312"/>
      <c r="I29" s="312"/>
      <c r="J29" s="312" t="s">
        <v>494</v>
      </c>
      <c r="AC29" s="25" t="s">
        <v>837</v>
      </c>
      <c r="AD29" s="25" t="s">
        <v>873</v>
      </c>
      <c r="AE29" s="280"/>
      <c r="AF29" s="341">
        <v>54900</v>
      </c>
      <c r="AG29" s="352">
        <f t="shared" si="1"/>
        <v>54900</v>
      </c>
      <c r="AH29" s="353">
        <v>54230</v>
      </c>
      <c r="AI29" s="354">
        <f t="shared" si="0"/>
        <v>670</v>
      </c>
      <c r="AK29" s="354"/>
    </row>
    <row r="30" spans="2:37" ht="18.75">
      <c r="B30" s="430" t="s">
        <v>495</v>
      </c>
      <c r="C30" s="437" t="s">
        <v>496</v>
      </c>
      <c r="D30" s="443" t="s">
        <v>497</v>
      </c>
      <c r="E30" s="443" t="s">
        <v>498</v>
      </c>
      <c r="F30" s="450" t="s">
        <v>499</v>
      </c>
      <c r="G30" s="451" t="s">
        <v>500</v>
      </c>
      <c r="H30" s="451"/>
      <c r="I30" s="451"/>
      <c r="J30" s="451"/>
      <c r="K30" s="155"/>
      <c r="L30" s="153"/>
      <c r="M30" s="155"/>
      <c r="N30" s="155"/>
      <c r="O30" s="155"/>
      <c r="P30" s="155"/>
      <c r="Q30" s="155"/>
      <c r="R30" s="155"/>
      <c r="AC30" s="25" t="s">
        <v>839</v>
      </c>
      <c r="AD30" s="25" t="s">
        <v>838</v>
      </c>
      <c r="AE30" s="280"/>
      <c r="AF30" s="341">
        <v>3100</v>
      </c>
      <c r="AG30" s="352">
        <f t="shared" si="1"/>
        <v>3100</v>
      </c>
      <c r="AH30" s="353">
        <v>3100</v>
      </c>
      <c r="AI30" s="354">
        <f t="shared" si="0"/>
        <v>0</v>
      </c>
      <c r="AK30" s="354"/>
    </row>
    <row r="31" spans="2:37" ht="18.75">
      <c r="B31" s="430"/>
      <c r="C31" s="437"/>
      <c r="D31" s="443"/>
      <c r="E31" s="443"/>
      <c r="F31" s="450"/>
      <c r="G31" s="313" t="s">
        <v>502</v>
      </c>
      <c r="H31" s="313" t="s">
        <v>503</v>
      </c>
      <c r="I31" s="313" t="s">
        <v>504</v>
      </c>
      <c r="J31" s="313" t="s">
        <v>505</v>
      </c>
      <c r="K31" s="155"/>
      <c r="L31" s="153"/>
      <c r="M31" s="155"/>
      <c r="N31" s="155"/>
      <c r="O31" s="155"/>
      <c r="P31" s="155"/>
      <c r="Q31" s="155"/>
      <c r="R31" s="155"/>
      <c r="AC31" s="25" t="s">
        <v>841</v>
      </c>
      <c r="AD31" s="25" t="s">
        <v>840</v>
      </c>
      <c r="AE31" s="280"/>
      <c r="AF31" s="341">
        <v>17500</v>
      </c>
      <c r="AG31" s="352">
        <f t="shared" si="1"/>
        <v>17500</v>
      </c>
      <c r="AH31" s="353">
        <v>0</v>
      </c>
      <c r="AI31" s="354">
        <f t="shared" si="0"/>
        <v>17500</v>
      </c>
      <c r="AK31" s="354"/>
    </row>
    <row r="32" spans="2:37" ht="18.75">
      <c r="B32" s="142">
        <v>1</v>
      </c>
      <c r="C32" s="151">
        <v>2</v>
      </c>
      <c r="D32" s="151">
        <v>3</v>
      </c>
      <c r="E32" s="151">
        <v>4</v>
      </c>
      <c r="F32" s="367">
        <v>5</v>
      </c>
      <c r="G32" s="367">
        <v>6</v>
      </c>
      <c r="H32" s="367">
        <v>7</v>
      </c>
      <c r="I32" s="367">
        <v>8</v>
      </c>
      <c r="J32" s="367">
        <v>9</v>
      </c>
      <c r="K32" s="155"/>
      <c r="L32" s="153"/>
      <c r="M32" s="155"/>
      <c r="N32" s="155"/>
      <c r="O32" s="155"/>
      <c r="P32" s="155"/>
      <c r="Q32" s="155"/>
      <c r="R32" s="155"/>
      <c r="AC32" s="25" t="s">
        <v>186</v>
      </c>
      <c r="AD32" s="25" t="s">
        <v>187</v>
      </c>
      <c r="AE32" s="280">
        <v>4000</v>
      </c>
      <c r="AF32" s="341">
        <v>4000</v>
      </c>
      <c r="AG32" s="352">
        <f t="shared" si="1"/>
        <v>4000</v>
      </c>
      <c r="AH32" s="353">
        <v>1150</v>
      </c>
      <c r="AI32" s="354">
        <f t="shared" si="0"/>
        <v>2850</v>
      </c>
      <c r="AK32" s="354"/>
    </row>
    <row r="33" spans="2:37" ht="18.75">
      <c r="B33" s="439" t="s">
        <v>506</v>
      </c>
      <c r="C33" s="439"/>
      <c r="D33" s="439"/>
      <c r="E33" s="439"/>
      <c r="F33" s="439"/>
      <c r="G33" s="439"/>
      <c r="H33" s="439"/>
      <c r="I33" s="439"/>
      <c r="J33" s="440"/>
      <c r="K33" s="155"/>
      <c r="L33" s="153"/>
      <c r="M33" s="155"/>
      <c r="N33" s="155"/>
      <c r="O33" s="155"/>
      <c r="P33" s="155"/>
      <c r="Q33" s="155"/>
      <c r="R33" s="155"/>
      <c r="AC33" s="25" t="s">
        <v>722</v>
      </c>
      <c r="AD33" s="25" t="s">
        <v>723</v>
      </c>
      <c r="AE33" s="280">
        <v>10000</v>
      </c>
      <c r="AF33" s="341">
        <v>2000</v>
      </c>
      <c r="AG33" s="352">
        <f t="shared" si="1"/>
        <v>2000</v>
      </c>
      <c r="AH33" s="353">
        <v>1690</v>
      </c>
      <c r="AI33" s="354">
        <f t="shared" si="0"/>
        <v>310</v>
      </c>
      <c r="AK33" s="354"/>
    </row>
    <row r="34" spans="2:37" s="158" customFormat="1" ht="18.75">
      <c r="B34" s="441" t="s">
        <v>507</v>
      </c>
      <c r="C34" s="441"/>
      <c r="D34" s="441"/>
      <c r="E34" s="441"/>
      <c r="F34" s="441"/>
      <c r="G34" s="441"/>
      <c r="H34" s="441"/>
      <c r="I34" s="441"/>
      <c r="J34" s="441"/>
      <c r="K34" s="251"/>
      <c r="L34" s="251"/>
      <c r="M34" s="251"/>
      <c r="N34" s="251"/>
      <c r="O34" s="251"/>
      <c r="P34" s="251"/>
      <c r="Q34" s="251"/>
      <c r="R34" s="251"/>
      <c r="AC34" s="25" t="s">
        <v>724</v>
      </c>
      <c r="AD34" s="25" t="s">
        <v>725</v>
      </c>
      <c r="AE34" s="280">
        <v>10000</v>
      </c>
      <c r="AF34" s="341">
        <v>17000</v>
      </c>
      <c r="AG34" s="352">
        <f t="shared" si="1"/>
        <v>17000</v>
      </c>
      <c r="AH34" s="353">
        <v>15595</v>
      </c>
      <c r="AI34" s="354">
        <f t="shared" si="0"/>
        <v>1405</v>
      </c>
      <c r="AK34" s="354"/>
    </row>
    <row r="35" spans="1:37" s="158" customFormat="1" ht="37.5">
      <c r="A35" s="158">
        <v>1</v>
      </c>
      <c r="B35" s="159" t="s">
        <v>508</v>
      </c>
      <c r="C35" s="160">
        <v>100</v>
      </c>
      <c r="D35" s="161"/>
      <c r="E35" s="161"/>
      <c r="F35" s="314">
        <f aca="true" t="shared" si="2" ref="F35:F44">SUM(G35:J35)</f>
        <v>33600.03259</v>
      </c>
      <c r="G35" s="315">
        <f>-(G41+G60+G75+G84+G86)-G36-G37</f>
        <v>9349.38226</v>
      </c>
      <c r="H35" s="315">
        <f>-(H41+H60+H75+H84+H86)-H36-H37</f>
        <v>7784.16675</v>
      </c>
      <c r="I35" s="315">
        <f>-(I41+I60+I75+I84+I86)-I36-I37</f>
        <v>8147.341160000001</v>
      </c>
      <c r="J35" s="315">
        <f>-(J41+J60+J75+J84+J86)-J36-J37</f>
        <v>8319.142420000002</v>
      </c>
      <c r="K35" s="190"/>
      <c r="L35" s="286"/>
      <c r="M35" s="190"/>
      <c r="N35" s="190"/>
      <c r="O35" s="190"/>
      <c r="P35" s="190"/>
      <c r="Q35" s="190"/>
      <c r="R35" s="190"/>
      <c r="S35" s="258">
        <v>1196</v>
      </c>
      <c r="AC35" s="25" t="s">
        <v>726</v>
      </c>
      <c r="AD35" s="25" t="s">
        <v>727</v>
      </c>
      <c r="AE35" s="280">
        <v>10000</v>
      </c>
      <c r="AF35" s="341">
        <v>32800</v>
      </c>
      <c r="AG35" s="352">
        <f t="shared" si="1"/>
        <v>32800</v>
      </c>
      <c r="AH35" s="353">
        <v>28814</v>
      </c>
      <c r="AI35" s="354">
        <f t="shared" si="0"/>
        <v>3986</v>
      </c>
      <c r="AK35" s="354"/>
    </row>
    <row r="36" spans="1:37" s="158" customFormat="1" ht="44.25" customHeight="1">
      <c r="A36" s="158">
        <v>2</v>
      </c>
      <c r="B36" s="159" t="s">
        <v>811</v>
      </c>
      <c r="C36" s="160">
        <v>110</v>
      </c>
      <c r="D36" s="161"/>
      <c r="E36" s="161"/>
      <c r="F36" s="314">
        <f t="shared" si="2"/>
        <v>553.72214</v>
      </c>
      <c r="G36" s="315">
        <f>G94</f>
        <v>8.84653</v>
      </c>
      <c r="H36" s="315">
        <f>H94</f>
        <v>69.1874</v>
      </c>
      <c r="I36" s="315">
        <f>I94</f>
        <v>245.2</v>
      </c>
      <c r="J36" s="315">
        <f>J94</f>
        <v>230.48821</v>
      </c>
      <c r="K36" s="190"/>
      <c r="L36" s="286"/>
      <c r="M36" s="190"/>
      <c r="N36" s="190"/>
      <c r="O36" s="190"/>
      <c r="P36" s="190"/>
      <c r="Q36" s="190"/>
      <c r="R36" s="190"/>
      <c r="AC36" s="25" t="s">
        <v>728</v>
      </c>
      <c r="AD36" s="25" t="s">
        <v>729</v>
      </c>
      <c r="AE36" s="280">
        <v>25000</v>
      </c>
      <c r="AF36" s="341">
        <v>9200</v>
      </c>
      <c r="AG36" s="352">
        <f t="shared" si="1"/>
        <v>9200</v>
      </c>
      <c r="AH36" s="353">
        <v>9200</v>
      </c>
      <c r="AI36" s="354">
        <f t="shared" si="0"/>
        <v>0</v>
      </c>
      <c r="AK36" s="354"/>
    </row>
    <row r="37" spans="1:37" s="158" customFormat="1" ht="37.5">
      <c r="A37" s="158">
        <v>3</v>
      </c>
      <c r="B37" s="159" t="s">
        <v>511</v>
      </c>
      <c r="C37" s="160">
        <v>120</v>
      </c>
      <c r="D37" s="161"/>
      <c r="E37" s="161"/>
      <c r="F37" s="314">
        <f t="shared" si="2"/>
        <v>0</v>
      </c>
      <c r="G37" s="315">
        <f>G38+G39+G40</f>
        <v>0</v>
      </c>
      <c r="H37" s="315">
        <f>H38+H39+H40</f>
        <v>0</v>
      </c>
      <c r="I37" s="315">
        <f>I38+I39+I40</f>
        <v>0</v>
      </c>
      <c r="J37" s="315">
        <f>J38+J39+J40</f>
        <v>0</v>
      </c>
      <c r="K37" s="190"/>
      <c r="L37" s="286"/>
      <c r="M37" s="190"/>
      <c r="N37" s="190"/>
      <c r="O37" s="190"/>
      <c r="P37" s="190"/>
      <c r="Q37" s="190"/>
      <c r="R37" s="190"/>
      <c r="AC37" s="25" t="s">
        <v>190</v>
      </c>
      <c r="AD37" s="25" t="s">
        <v>191</v>
      </c>
      <c r="AE37" s="280">
        <v>5000</v>
      </c>
      <c r="AF37" s="341">
        <v>5000</v>
      </c>
      <c r="AG37" s="352">
        <f t="shared" si="1"/>
        <v>5000</v>
      </c>
      <c r="AH37" s="353">
        <v>0</v>
      </c>
      <c r="AI37" s="354">
        <f t="shared" si="0"/>
        <v>5000</v>
      </c>
      <c r="AK37" s="354"/>
    </row>
    <row r="38" spans="1:37" s="158" customFormat="1" ht="56.25">
      <c r="A38" s="158">
        <v>4</v>
      </c>
      <c r="B38" s="165" t="s">
        <v>512</v>
      </c>
      <c r="C38" s="166">
        <v>121</v>
      </c>
      <c r="D38" s="161"/>
      <c r="E38" s="161"/>
      <c r="F38" s="314">
        <f t="shared" si="2"/>
        <v>0</v>
      </c>
      <c r="G38" s="315"/>
      <c r="H38" s="315"/>
      <c r="I38" s="315"/>
      <c r="J38" s="315"/>
      <c r="K38" s="190"/>
      <c r="L38" s="286"/>
      <c r="M38" s="190"/>
      <c r="N38" s="190"/>
      <c r="O38" s="190"/>
      <c r="P38" s="190"/>
      <c r="Q38" s="190"/>
      <c r="R38" s="190"/>
      <c r="AC38" s="25" t="s">
        <v>843</v>
      </c>
      <c r="AD38" s="25" t="s">
        <v>842</v>
      </c>
      <c r="AE38" s="280"/>
      <c r="AF38" s="341">
        <v>410</v>
      </c>
      <c r="AG38" s="352">
        <f t="shared" si="1"/>
        <v>410</v>
      </c>
      <c r="AH38" s="353">
        <v>410</v>
      </c>
      <c r="AI38" s="354">
        <f t="shared" si="0"/>
        <v>0</v>
      </c>
      <c r="AK38" s="354"/>
    </row>
    <row r="39" spans="1:37" s="158" customFormat="1" ht="37.5">
      <c r="A39" s="158">
        <v>5</v>
      </c>
      <c r="B39" s="165" t="s">
        <v>513</v>
      </c>
      <c r="C39" s="166">
        <v>122</v>
      </c>
      <c r="D39" s="161"/>
      <c r="E39" s="161"/>
      <c r="F39" s="314">
        <f t="shared" si="2"/>
        <v>0</v>
      </c>
      <c r="G39" s="315"/>
      <c r="H39" s="315"/>
      <c r="I39" s="315">
        <v>0</v>
      </c>
      <c r="J39" s="315">
        <v>0</v>
      </c>
      <c r="K39" s="190"/>
      <c r="L39" s="286"/>
      <c r="M39" s="190"/>
      <c r="N39" s="190"/>
      <c r="O39" s="190"/>
      <c r="P39" s="190"/>
      <c r="Q39" s="190"/>
      <c r="R39" s="190"/>
      <c r="AC39" s="25" t="s">
        <v>845</v>
      </c>
      <c r="AD39" s="25" t="s">
        <v>844</v>
      </c>
      <c r="AE39" s="280"/>
      <c r="AF39" s="341">
        <v>3500</v>
      </c>
      <c r="AG39" s="352">
        <f t="shared" si="1"/>
        <v>3500</v>
      </c>
      <c r="AH39" s="353">
        <v>2900</v>
      </c>
      <c r="AI39" s="354">
        <f t="shared" si="0"/>
        <v>600</v>
      </c>
      <c r="AK39" s="354">
        <v>600</v>
      </c>
    </row>
    <row r="40" spans="1:37" s="158" customFormat="1" ht="19.5" customHeight="1">
      <c r="A40" s="158">
        <v>6</v>
      </c>
      <c r="B40" s="165" t="s">
        <v>810</v>
      </c>
      <c r="C40" s="166">
        <v>123</v>
      </c>
      <c r="D40" s="161"/>
      <c r="E40" s="161"/>
      <c r="F40" s="314">
        <f t="shared" si="2"/>
        <v>0</v>
      </c>
      <c r="G40" s="315"/>
      <c r="H40" s="315"/>
      <c r="I40" s="315"/>
      <c r="J40" s="315"/>
      <c r="K40" s="190"/>
      <c r="L40" s="286"/>
      <c r="M40" s="190"/>
      <c r="N40" s="190"/>
      <c r="O40" s="190"/>
      <c r="P40" s="190"/>
      <c r="Q40" s="190"/>
      <c r="R40" s="190"/>
      <c r="AC40" s="25" t="s">
        <v>689</v>
      </c>
      <c r="AD40" s="25" t="s">
        <v>751</v>
      </c>
      <c r="AE40" s="280">
        <v>1000</v>
      </c>
      <c r="AF40" s="341">
        <v>4963.94</v>
      </c>
      <c r="AG40" s="352">
        <f t="shared" si="1"/>
        <v>4963.94</v>
      </c>
      <c r="AH40" s="353">
        <v>3187.28</v>
      </c>
      <c r="AI40" s="354">
        <f t="shared" si="0"/>
        <v>1776.6599999999994</v>
      </c>
      <c r="AK40" s="354"/>
    </row>
    <row r="41" spans="1:37" ht="30" customHeight="1">
      <c r="A41" s="158">
        <v>7</v>
      </c>
      <c r="B41" s="159" t="s">
        <v>516</v>
      </c>
      <c r="C41" s="160">
        <v>130</v>
      </c>
      <c r="D41" s="167">
        <f>SUM(D42:D59)</f>
        <v>0</v>
      </c>
      <c r="E41" s="167">
        <f>SUM(E42:E59)</f>
        <v>0</v>
      </c>
      <c r="F41" s="316">
        <f t="shared" si="2"/>
        <v>-27169.663309999996</v>
      </c>
      <c r="G41" s="314">
        <f>G42+G45+G46+G51+SUM(G52:G59)</f>
        <v>-6666.02</v>
      </c>
      <c r="H41" s="314">
        <f>H42+H45+H46+H51+SUM(H52:H59)</f>
        <v>-6539.745</v>
      </c>
      <c r="I41" s="314">
        <f>I42+I45+I46+I51+SUM(I52:I59)</f>
        <v>-6907.08487</v>
      </c>
      <c r="J41" s="314">
        <f>J42+J45+J46+J51+SUM(J52:J59)</f>
        <v>-7056.81344</v>
      </c>
      <c r="K41" s="190"/>
      <c r="L41" s="286"/>
      <c r="M41" s="332" t="s">
        <v>820</v>
      </c>
      <c r="N41" s="190"/>
      <c r="O41" s="190"/>
      <c r="P41" s="190"/>
      <c r="Q41" s="190"/>
      <c r="R41" s="190"/>
      <c r="T41" s="330">
        <f>T42+T45+T46+T51+T52+T53+T54+T55+T56+T57+T58+T59</f>
        <v>6666020</v>
      </c>
      <c r="U41" s="330">
        <f>U42+U45+U46+U51+U52+U53+U54+U55+U56+U57+U58+U59</f>
        <v>6540845</v>
      </c>
      <c r="V41" s="330">
        <f>V42+V45+V46+V51+V52+V53+V54+V55+V56+V57+V58+V59</f>
        <v>6911684.87</v>
      </c>
      <c r="W41" s="330">
        <f>W42+W45+W46+W51+W52+W53+W54+W55+W56+W57+W58+W59</f>
        <v>7057913.44</v>
      </c>
      <c r="Z41" s="338">
        <f aca="true" t="shared" si="3" ref="Z41:Z82">F41*-1000</f>
        <v>27169663.309999995</v>
      </c>
      <c r="AC41" s="25" t="s">
        <v>847</v>
      </c>
      <c r="AD41" s="25" t="s">
        <v>846</v>
      </c>
      <c r="AE41" s="280"/>
      <c r="AF41" s="341">
        <v>10000</v>
      </c>
      <c r="AG41" s="352">
        <f t="shared" si="1"/>
        <v>10000</v>
      </c>
      <c r="AH41" s="353">
        <v>9990</v>
      </c>
      <c r="AI41" s="354">
        <f t="shared" si="0"/>
        <v>10</v>
      </c>
      <c r="AK41" s="354">
        <v>10</v>
      </c>
    </row>
    <row r="42" spans="1:37" s="171" customFormat="1" ht="18.75">
      <c r="A42" s="158">
        <v>8</v>
      </c>
      <c r="B42" s="159" t="s">
        <v>517</v>
      </c>
      <c r="C42" s="151">
        <v>140</v>
      </c>
      <c r="D42" s="169"/>
      <c r="E42" s="169"/>
      <c r="F42" s="316">
        <f t="shared" si="2"/>
        <v>-1451.8507</v>
      </c>
      <c r="G42" s="317">
        <f>SUM(G43:G44)</f>
        <v>-385</v>
      </c>
      <c r="H42" s="317">
        <f>SUM(H43:H44)</f>
        <v>-540</v>
      </c>
      <c r="I42" s="317">
        <f>SUM(I43:I44)</f>
        <v>-339</v>
      </c>
      <c r="J42" s="317">
        <f>SUM(J43:J44)</f>
        <v>-187.85070000000002</v>
      </c>
      <c r="K42" s="190"/>
      <c r="L42" s="286"/>
      <c r="M42" s="332" t="s">
        <v>821</v>
      </c>
      <c r="N42" s="190"/>
      <c r="O42" s="190"/>
      <c r="P42" s="190"/>
      <c r="Q42" s="190"/>
      <c r="R42" s="190"/>
      <c r="T42" s="331">
        <f>T43+T44</f>
        <v>385000</v>
      </c>
      <c r="U42" s="331">
        <f>U43+U44</f>
        <v>540000</v>
      </c>
      <c r="V42" s="331">
        <f>V43+V44</f>
        <v>339000</v>
      </c>
      <c r="W42" s="331">
        <f>W43+W44</f>
        <v>187850.69999999995</v>
      </c>
      <c r="Z42" s="338">
        <f t="shared" si="3"/>
        <v>1451850.7</v>
      </c>
      <c r="AC42" s="25" t="s">
        <v>730</v>
      </c>
      <c r="AD42" s="25" t="s">
        <v>731</v>
      </c>
      <c r="AE42" s="280">
        <v>45000</v>
      </c>
      <c r="AF42" s="341">
        <v>89620</v>
      </c>
      <c r="AG42" s="352">
        <f t="shared" si="1"/>
        <v>89620</v>
      </c>
      <c r="AH42" s="353">
        <v>83956.92</v>
      </c>
      <c r="AI42" s="354">
        <f t="shared" si="0"/>
        <v>5663.080000000002</v>
      </c>
      <c r="AK42" s="354"/>
    </row>
    <row r="43" spans="1:37" s="171" customFormat="1" ht="18.75">
      <c r="A43" s="158">
        <v>9</v>
      </c>
      <c r="B43" s="165" t="s">
        <v>518</v>
      </c>
      <c r="C43" s="172">
        <v>141</v>
      </c>
      <c r="D43" s="161"/>
      <c r="E43" s="161"/>
      <c r="F43" s="314">
        <f t="shared" si="2"/>
        <v>-571.896</v>
      </c>
      <c r="G43" s="315">
        <v>-145</v>
      </c>
      <c r="H43" s="315">
        <v>-150</v>
      </c>
      <c r="I43" s="315">
        <v>-170</v>
      </c>
      <c r="J43" s="315">
        <v>-106.896</v>
      </c>
      <c r="K43" s="289"/>
      <c r="L43" s="288">
        <f>M43+N43+O43+P43</f>
        <v>571896</v>
      </c>
      <c r="M43" s="366">
        <v>145000</v>
      </c>
      <c r="N43" s="366">
        <v>150000</v>
      </c>
      <c r="O43" s="366">
        <v>170000</v>
      </c>
      <c r="P43" s="366">
        <f>Q43-M43-N43-O43</f>
        <v>106896</v>
      </c>
      <c r="Q43" s="371">
        <v>571896</v>
      </c>
      <c r="R43" s="371"/>
      <c r="T43" s="202">
        <f aca="true" t="shared" si="4" ref="T43:W45">M43</f>
        <v>145000</v>
      </c>
      <c r="U43" s="202">
        <f t="shared" si="4"/>
        <v>150000</v>
      </c>
      <c r="V43" s="202">
        <f t="shared" si="4"/>
        <v>170000</v>
      </c>
      <c r="W43" s="202">
        <f t="shared" si="4"/>
        <v>106896</v>
      </c>
      <c r="Z43" s="338">
        <f t="shared" si="3"/>
        <v>571896</v>
      </c>
      <c r="AC43" s="25" t="s">
        <v>732</v>
      </c>
      <c r="AD43" s="25" t="s">
        <v>733</v>
      </c>
      <c r="AE43" s="280">
        <v>120000</v>
      </c>
      <c r="AF43" s="341">
        <v>68300.34</v>
      </c>
      <c r="AG43" s="352">
        <f t="shared" si="1"/>
        <v>68300.34</v>
      </c>
      <c r="AH43" s="353">
        <v>66859</v>
      </c>
      <c r="AI43" s="354">
        <f t="shared" si="0"/>
        <v>1441.3399999999965</v>
      </c>
      <c r="AK43" s="354"/>
    </row>
    <row r="44" spans="1:37" s="171" customFormat="1" ht="56.25">
      <c r="A44" s="158">
        <v>10</v>
      </c>
      <c r="B44" s="165" t="s">
        <v>519</v>
      </c>
      <c r="C44" s="172">
        <v>142</v>
      </c>
      <c r="D44" s="161"/>
      <c r="E44" s="161"/>
      <c r="F44" s="314">
        <f t="shared" si="2"/>
        <v>-879.9547</v>
      </c>
      <c r="G44" s="315">
        <v>-240</v>
      </c>
      <c r="H44" s="315">
        <v>-390</v>
      </c>
      <c r="I44" s="315">
        <v>-169</v>
      </c>
      <c r="J44" s="315">
        <v>-80.9547</v>
      </c>
      <c r="K44" s="289"/>
      <c r="L44" s="295">
        <f>M44+N44+O44+P44</f>
        <v>879954.7</v>
      </c>
      <c r="M44" s="366">
        <v>240000</v>
      </c>
      <c r="N44" s="366">
        <v>390000</v>
      </c>
      <c r="O44" s="366">
        <v>169000</v>
      </c>
      <c r="P44" s="366">
        <f>Q44-M44-N44-O44</f>
        <v>80954.69999999995</v>
      </c>
      <c r="Q44" s="371">
        <f>890954.7-Q61</f>
        <v>879954.7</v>
      </c>
      <c r="R44" s="371"/>
      <c r="T44" s="202">
        <f t="shared" si="4"/>
        <v>240000</v>
      </c>
      <c r="U44" s="202">
        <f t="shared" si="4"/>
        <v>390000</v>
      </c>
      <c r="V44" s="202">
        <f t="shared" si="4"/>
        <v>169000</v>
      </c>
      <c r="W44" s="202">
        <f t="shared" si="4"/>
        <v>80954.69999999995</v>
      </c>
      <c r="Z44" s="338">
        <f t="shared" si="3"/>
        <v>879954.7</v>
      </c>
      <c r="AC44" s="25" t="s">
        <v>734</v>
      </c>
      <c r="AD44" s="25" t="s">
        <v>735</v>
      </c>
      <c r="AE44" s="280">
        <v>150000</v>
      </c>
      <c r="AF44" s="341">
        <v>36400</v>
      </c>
      <c r="AG44" s="352">
        <f t="shared" si="1"/>
        <v>36400</v>
      </c>
      <c r="AH44" s="353">
        <v>32799</v>
      </c>
      <c r="AI44" s="354">
        <f t="shared" si="0"/>
        <v>3601</v>
      </c>
      <c r="AK44" s="354"/>
    </row>
    <row r="45" spans="1:37" s="171" customFormat="1" ht="18.75">
      <c r="A45" s="158">
        <v>11</v>
      </c>
      <c r="B45" s="159" t="s">
        <v>520</v>
      </c>
      <c r="C45" s="151">
        <v>150</v>
      </c>
      <c r="D45" s="161"/>
      <c r="E45" s="161"/>
      <c r="F45" s="314">
        <f aca="true" t="shared" si="5" ref="F45:F75">SUM(G45:J45)</f>
        <v>-256.5</v>
      </c>
      <c r="G45" s="315">
        <v>-55</v>
      </c>
      <c r="H45" s="315">
        <v>-100</v>
      </c>
      <c r="I45" s="315">
        <v>-55.5</v>
      </c>
      <c r="J45" s="315">
        <v>-46</v>
      </c>
      <c r="K45" s="289"/>
      <c r="L45" s="288">
        <f>M45+N45+O45+P45</f>
        <v>256500</v>
      </c>
      <c r="M45" s="366">
        <v>55000</v>
      </c>
      <c r="N45" s="366">
        <v>100000</v>
      </c>
      <c r="O45" s="366">
        <v>55500</v>
      </c>
      <c r="P45" s="366">
        <f>Q45-M45-N45-O45</f>
        <v>46000</v>
      </c>
      <c r="Q45" s="371">
        <f>291500-Q68</f>
        <v>256500</v>
      </c>
      <c r="R45" s="371"/>
      <c r="T45" s="202">
        <f t="shared" si="4"/>
        <v>55000</v>
      </c>
      <c r="U45" s="202">
        <f t="shared" si="4"/>
        <v>100000</v>
      </c>
      <c r="V45" s="202">
        <f t="shared" si="4"/>
        <v>55500</v>
      </c>
      <c r="W45" s="202">
        <f t="shared" si="4"/>
        <v>46000</v>
      </c>
      <c r="Z45" s="338">
        <f t="shared" si="3"/>
        <v>256500</v>
      </c>
      <c r="AC45" s="25" t="s">
        <v>876</v>
      </c>
      <c r="AD45" s="25" t="s">
        <v>877</v>
      </c>
      <c r="AE45" s="280"/>
      <c r="AF45" s="341">
        <v>35000</v>
      </c>
      <c r="AG45" s="352">
        <f t="shared" si="1"/>
        <v>35000</v>
      </c>
      <c r="AH45" s="353">
        <v>28140</v>
      </c>
      <c r="AI45" s="354">
        <f t="shared" si="0"/>
        <v>6860</v>
      </c>
      <c r="AK45" s="354"/>
    </row>
    <row r="46" spans="1:37" s="171" customFormat="1" ht="18.75">
      <c r="A46" s="158">
        <v>12</v>
      </c>
      <c r="B46" s="159" t="s">
        <v>521</v>
      </c>
      <c r="C46" s="151">
        <v>160</v>
      </c>
      <c r="D46" s="169"/>
      <c r="E46" s="169"/>
      <c r="F46" s="318">
        <f>SUM(G46:J46)</f>
        <v>-565.4</v>
      </c>
      <c r="G46" s="317">
        <f>SUM(G47:G50)</f>
        <v>-364</v>
      </c>
      <c r="H46" s="317">
        <f>SUM(H47:H50)</f>
        <v>-43.5</v>
      </c>
      <c r="I46" s="317">
        <f>SUM(I47:I50)</f>
        <v>-15.899999999999999</v>
      </c>
      <c r="J46" s="317">
        <f>SUM(J47:J50)</f>
        <v>-142</v>
      </c>
      <c r="K46" s="190"/>
      <c r="L46" s="286"/>
      <c r="M46" s="332" t="s">
        <v>822</v>
      </c>
      <c r="N46" s="190"/>
      <c r="O46" s="190"/>
      <c r="P46" s="190"/>
      <c r="Q46" s="287"/>
      <c r="R46" s="287"/>
      <c r="T46" s="331">
        <f>T47+T48+T49+T50</f>
        <v>364000</v>
      </c>
      <c r="U46" s="331">
        <f>U47+U48+U49+U50</f>
        <v>43500</v>
      </c>
      <c r="V46" s="331">
        <f>V47+V48+V49+V50</f>
        <v>15900</v>
      </c>
      <c r="W46" s="331">
        <f>W47+W48+W49+W50</f>
        <v>142000</v>
      </c>
      <c r="Z46" s="338">
        <f t="shared" si="3"/>
        <v>565400</v>
      </c>
      <c r="AC46" s="25" t="s">
        <v>849</v>
      </c>
      <c r="AD46" s="25" t="s">
        <v>848</v>
      </c>
      <c r="AE46" s="280"/>
      <c r="AF46" s="341">
        <v>38740</v>
      </c>
      <c r="AG46" s="352">
        <f t="shared" si="1"/>
        <v>38740</v>
      </c>
      <c r="AH46" s="353">
        <v>38740</v>
      </c>
      <c r="AI46" s="354">
        <f t="shared" si="0"/>
        <v>0</v>
      </c>
      <c r="AK46" s="354"/>
    </row>
    <row r="47" spans="1:37" s="171" customFormat="1" ht="18.75">
      <c r="A47" s="158">
        <v>13</v>
      </c>
      <c r="B47" s="165" t="s">
        <v>522</v>
      </c>
      <c r="C47" s="172">
        <v>161</v>
      </c>
      <c r="D47" s="161"/>
      <c r="E47" s="161"/>
      <c r="F47" s="314">
        <f t="shared" si="5"/>
        <v>-300</v>
      </c>
      <c r="G47" s="315">
        <v>-190</v>
      </c>
      <c r="H47" s="315">
        <v>-40</v>
      </c>
      <c r="I47" s="315">
        <v>-10</v>
      </c>
      <c r="J47" s="315">
        <v>-60</v>
      </c>
      <c r="K47" s="289"/>
      <c r="L47" s="288">
        <f aca="true" t="shared" si="6" ref="L47:L55">M47+N47+O47+P47</f>
        <v>300000</v>
      </c>
      <c r="M47" s="366">
        <v>190000</v>
      </c>
      <c r="N47" s="366">
        <v>40000</v>
      </c>
      <c r="O47" s="366">
        <v>10000</v>
      </c>
      <c r="P47" s="366">
        <f>Q47-M47-N47-O47</f>
        <v>60000</v>
      </c>
      <c r="Q47" s="371">
        <f>415000-Q66</f>
        <v>300000</v>
      </c>
      <c r="R47" s="371"/>
      <c r="T47" s="202">
        <f aca="true" t="shared" si="7" ref="T47:T59">M47</f>
        <v>190000</v>
      </c>
      <c r="U47" s="202">
        <f aca="true" t="shared" si="8" ref="U47:U59">N47</f>
        <v>40000</v>
      </c>
      <c r="V47" s="202">
        <f aca="true" t="shared" si="9" ref="V47:V59">O47</f>
        <v>10000</v>
      </c>
      <c r="W47" s="202">
        <f aca="true" t="shared" si="10" ref="W47:W59">P47</f>
        <v>60000</v>
      </c>
      <c r="Z47" s="338">
        <f t="shared" si="3"/>
        <v>300000</v>
      </c>
      <c r="AC47" s="25" t="s">
        <v>878</v>
      </c>
      <c r="AD47" s="25" t="s">
        <v>879</v>
      </c>
      <c r="AE47" s="280"/>
      <c r="AF47" s="341">
        <v>5500</v>
      </c>
      <c r="AG47" s="352">
        <f t="shared" si="1"/>
        <v>5500</v>
      </c>
      <c r="AH47" s="353">
        <v>5500</v>
      </c>
      <c r="AI47" s="354">
        <f t="shared" si="0"/>
        <v>0</v>
      </c>
      <c r="AK47" s="354"/>
    </row>
    <row r="48" spans="1:37" s="171" customFormat="1" ht="31.5">
      <c r="A48" s="158">
        <v>14</v>
      </c>
      <c r="B48" s="165" t="s">
        <v>523</v>
      </c>
      <c r="C48" s="172">
        <v>162</v>
      </c>
      <c r="D48" s="161"/>
      <c r="E48" s="161"/>
      <c r="F48" s="314">
        <f t="shared" si="5"/>
        <v>-15.899999999999999</v>
      </c>
      <c r="G48" s="315">
        <v>-2</v>
      </c>
      <c r="H48" s="315">
        <v>-2.5</v>
      </c>
      <c r="I48" s="315">
        <v>-5.7</v>
      </c>
      <c r="J48" s="315">
        <v>-5.7</v>
      </c>
      <c r="K48" s="289"/>
      <c r="L48" s="288">
        <f t="shared" si="6"/>
        <v>15900</v>
      </c>
      <c r="M48" s="366">
        <v>2000</v>
      </c>
      <c r="N48" s="366">
        <v>2500</v>
      </c>
      <c r="O48" s="366">
        <v>5700</v>
      </c>
      <c r="P48" s="366">
        <f>Q48-M48-N48-O48</f>
        <v>5700</v>
      </c>
      <c r="Q48" s="371">
        <f>19100-Q67</f>
        <v>15900</v>
      </c>
      <c r="R48" s="371"/>
      <c r="T48" s="202">
        <f t="shared" si="7"/>
        <v>2000</v>
      </c>
      <c r="U48" s="202">
        <f t="shared" si="8"/>
        <v>2500</v>
      </c>
      <c r="V48" s="202">
        <f t="shared" si="9"/>
        <v>5700</v>
      </c>
      <c r="W48" s="202">
        <f t="shared" si="10"/>
        <v>5700</v>
      </c>
      <c r="Z48" s="338">
        <f t="shared" si="3"/>
        <v>15899.999999999998</v>
      </c>
      <c r="AC48" s="25" t="s">
        <v>736</v>
      </c>
      <c r="AD48" s="25" t="s">
        <v>737</v>
      </c>
      <c r="AE48" s="280">
        <v>4000</v>
      </c>
      <c r="AF48" s="341">
        <v>8000</v>
      </c>
      <c r="AG48" s="352">
        <f t="shared" si="1"/>
        <v>8000</v>
      </c>
      <c r="AH48" s="353">
        <v>7465.2</v>
      </c>
      <c r="AI48" s="354">
        <f t="shared" si="0"/>
        <v>534.8000000000002</v>
      </c>
      <c r="AK48" s="354"/>
    </row>
    <row r="49" spans="1:37" s="171" customFormat="1" ht="18.75">
      <c r="A49" s="158">
        <v>15</v>
      </c>
      <c r="B49" s="165" t="s">
        <v>524</v>
      </c>
      <c r="C49" s="172">
        <v>163</v>
      </c>
      <c r="D49" s="161"/>
      <c r="E49" s="161"/>
      <c r="F49" s="314">
        <f t="shared" si="5"/>
        <v>-49.5</v>
      </c>
      <c r="G49" s="315">
        <v>-26</v>
      </c>
      <c r="H49" s="315">
        <v>-1</v>
      </c>
      <c r="I49" s="315">
        <v>-0.2</v>
      </c>
      <c r="J49" s="315">
        <v>-22.3</v>
      </c>
      <c r="K49" s="289"/>
      <c r="L49" s="288">
        <f t="shared" si="6"/>
        <v>49500</v>
      </c>
      <c r="M49" s="366">
        <v>26000</v>
      </c>
      <c r="N49" s="366">
        <v>1000</v>
      </c>
      <c r="O49" s="366">
        <v>200</v>
      </c>
      <c r="P49" s="366">
        <f>Q49-M49-N49-O49</f>
        <v>22300</v>
      </c>
      <c r="Q49" s="371">
        <v>49500</v>
      </c>
      <c r="R49" s="371"/>
      <c r="T49" s="202">
        <f t="shared" si="7"/>
        <v>26000</v>
      </c>
      <c r="U49" s="202">
        <f t="shared" si="8"/>
        <v>1000</v>
      </c>
      <c r="V49" s="202">
        <f t="shared" si="9"/>
        <v>200</v>
      </c>
      <c r="W49" s="202">
        <f t="shared" si="10"/>
        <v>22300</v>
      </c>
      <c r="Z49" s="338">
        <f t="shared" si="3"/>
        <v>49500</v>
      </c>
      <c r="AC49" s="25" t="s">
        <v>738</v>
      </c>
      <c r="AD49" s="25" t="s">
        <v>780</v>
      </c>
      <c r="AE49" s="280">
        <v>10000</v>
      </c>
      <c r="AF49" s="341">
        <v>26938</v>
      </c>
      <c r="AG49" s="352">
        <f t="shared" si="1"/>
        <v>26938</v>
      </c>
      <c r="AH49" s="353">
        <v>26938</v>
      </c>
      <c r="AI49" s="354">
        <f t="shared" si="0"/>
        <v>0</v>
      </c>
      <c r="AK49" s="354"/>
    </row>
    <row r="50" spans="1:37" s="171" customFormat="1" ht="18.75">
      <c r="A50" s="158">
        <v>16</v>
      </c>
      <c r="B50" s="165" t="s">
        <v>526</v>
      </c>
      <c r="C50" s="172">
        <v>164</v>
      </c>
      <c r="D50" s="161"/>
      <c r="E50" s="161"/>
      <c r="F50" s="314">
        <f>SUM(G50:J50)</f>
        <v>-200</v>
      </c>
      <c r="G50" s="315">
        <v>-146</v>
      </c>
      <c r="H50" s="315">
        <v>0</v>
      </c>
      <c r="I50" s="315">
        <v>0</v>
      </c>
      <c r="J50" s="315">
        <v>-54</v>
      </c>
      <c r="K50" s="289"/>
      <c r="L50" s="288">
        <f t="shared" si="6"/>
        <v>200000</v>
      </c>
      <c r="M50" s="366">
        <f>372000-176000-38720-11280</f>
        <v>146000</v>
      </c>
      <c r="N50" s="366">
        <v>0</v>
      </c>
      <c r="O50" s="366">
        <v>0</v>
      </c>
      <c r="P50" s="366">
        <f>Q50-M50-N50-O50</f>
        <v>54000</v>
      </c>
      <c r="Q50" s="371">
        <v>200000</v>
      </c>
      <c r="R50" s="371"/>
      <c r="T50" s="202">
        <f t="shared" si="7"/>
        <v>146000</v>
      </c>
      <c r="U50" s="202">
        <f t="shared" si="8"/>
        <v>0</v>
      </c>
      <c r="V50" s="202">
        <f t="shared" si="9"/>
        <v>0</v>
      </c>
      <c r="W50" s="202">
        <f t="shared" si="10"/>
        <v>54000</v>
      </c>
      <c r="Z50" s="338">
        <f t="shared" si="3"/>
        <v>200000</v>
      </c>
      <c r="AC50" s="25" t="s">
        <v>880</v>
      </c>
      <c r="AD50" s="25" t="s">
        <v>881</v>
      </c>
      <c r="AE50" s="280"/>
      <c r="AF50" s="341">
        <v>1000</v>
      </c>
      <c r="AG50" s="352">
        <f t="shared" si="1"/>
        <v>1000</v>
      </c>
      <c r="AH50" s="353">
        <v>832.1</v>
      </c>
      <c r="AI50" s="354">
        <f t="shared" si="0"/>
        <v>167.89999999999998</v>
      </c>
      <c r="AK50" s="354"/>
    </row>
    <row r="51" spans="1:37" s="171" customFormat="1" ht="37.5">
      <c r="A51" s="158">
        <v>17</v>
      </c>
      <c r="B51" s="159" t="s">
        <v>527</v>
      </c>
      <c r="C51" s="151">
        <v>170</v>
      </c>
      <c r="D51" s="161"/>
      <c r="E51" s="161"/>
      <c r="F51" s="314">
        <f t="shared" si="5"/>
        <v>-891.565</v>
      </c>
      <c r="G51" s="315">
        <v>-130</v>
      </c>
      <c r="H51" s="315">
        <v>-140</v>
      </c>
      <c r="I51" s="315">
        <v>-150.565</v>
      </c>
      <c r="J51" s="315">
        <v>-471</v>
      </c>
      <c r="K51" s="289"/>
      <c r="L51" s="295">
        <f t="shared" si="6"/>
        <v>891565</v>
      </c>
      <c r="M51" s="366">
        <v>130000</v>
      </c>
      <c r="N51" s="366">
        <v>140000</v>
      </c>
      <c r="O51" s="366">
        <v>150565</v>
      </c>
      <c r="P51" s="366">
        <v>471000</v>
      </c>
      <c r="Q51" s="371">
        <f>982562.3-Q62</f>
        <v>902562.3</v>
      </c>
      <c r="R51" s="371"/>
      <c r="T51" s="202">
        <f t="shared" si="7"/>
        <v>130000</v>
      </c>
      <c r="U51" s="202">
        <f t="shared" si="8"/>
        <v>140000</v>
      </c>
      <c r="V51" s="202">
        <f t="shared" si="9"/>
        <v>150565</v>
      </c>
      <c r="W51" s="202">
        <f t="shared" si="10"/>
        <v>471000</v>
      </c>
      <c r="Z51" s="338">
        <f t="shared" si="3"/>
        <v>891565</v>
      </c>
      <c r="AC51" s="25" t="s">
        <v>688</v>
      </c>
      <c r="AD51" s="25" t="s">
        <v>752</v>
      </c>
      <c r="AE51" s="280">
        <v>19000</v>
      </c>
      <c r="AF51" s="341">
        <v>47000</v>
      </c>
      <c r="AG51" s="352">
        <f t="shared" si="1"/>
        <v>47000</v>
      </c>
      <c r="AH51" s="353">
        <v>46839.31</v>
      </c>
      <c r="AI51" s="354">
        <f t="shared" si="0"/>
        <v>160.69000000000233</v>
      </c>
      <c r="AK51" s="354"/>
    </row>
    <row r="52" spans="1:37" s="171" customFormat="1" ht="18.75">
      <c r="A52" s="158">
        <v>18</v>
      </c>
      <c r="B52" s="159" t="s">
        <v>528</v>
      </c>
      <c r="C52" s="151">
        <v>180</v>
      </c>
      <c r="D52" s="161"/>
      <c r="E52" s="161"/>
      <c r="F52" s="314">
        <f>SUM(G52:J52)</f>
        <v>-19326.61261</v>
      </c>
      <c r="G52" s="315">
        <f>-4696.68+23.4</f>
        <v>-4673.280000000001</v>
      </c>
      <c r="H52" s="315">
        <f>-5537.24+1103.2</f>
        <v>-4434.04</v>
      </c>
      <c r="I52" s="315">
        <f>-5215.289+69.9</f>
        <v>-5145.389</v>
      </c>
      <c r="J52" s="315">
        <f>(-5021903.61-52000)/1000</f>
        <v>-5073.90361</v>
      </c>
      <c r="K52" s="289"/>
      <c r="L52" s="295">
        <f t="shared" si="6"/>
        <v>19426612.61</v>
      </c>
      <c r="M52" s="302">
        <v>4673280</v>
      </c>
      <c r="N52" s="302">
        <v>4434040</v>
      </c>
      <c r="O52" s="302">
        <v>5145389</v>
      </c>
      <c r="P52" s="302">
        <v>5173903.61</v>
      </c>
      <c r="Q52" s="372"/>
      <c r="R52" s="372">
        <v>5074393.61</v>
      </c>
      <c r="S52" s="302">
        <v>5021903.61</v>
      </c>
      <c r="T52" s="202">
        <f t="shared" si="7"/>
        <v>4673280</v>
      </c>
      <c r="U52" s="202">
        <f t="shared" si="8"/>
        <v>4434040</v>
      </c>
      <c r="V52" s="202">
        <f t="shared" si="9"/>
        <v>5145389</v>
      </c>
      <c r="W52" s="202">
        <f t="shared" si="10"/>
        <v>5173903.61</v>
      </c>
      <c r="Z52" s="338">
        <f t="shared" si="3"/>
        <v>19326612.61</v>
      </c>
      <c r="AC52" s="25" t="s">
        <v>739</v>
      </c>
      <c r="AD52" s="25" t="s">
        <v>740</v>
      </c>
      <c r="AE52" s="280">
        <v>2000</v>
      </c>
      <c r="AF52" s="341">
        <v>2000</v>
      </c>
      <c r="AG52" s="352">
        <f t="shared" si="1"/>
        <v>2000</v>
      </c>
      <c r="AH52" s="353">
        <v>1535</v>
      </c>
      <c r="AI52" s="354">
        <f t="shared" si="0"/>
        <v>465</v>
      </c>
      <c r="AK52" s="354"/>
    </row>
    <row r="53" spans="1:37" s="171" customFormat="1" ht="18.75">
      <c r="A53" s="158">
        <v>19</v>
      </c>
      <c r="B53" s="159" t="s">
        <v>529</v>
      </c>
      <c r="C53" s="151">
        <v>190</v>
      </c>
      <c r="D53" s="161"/>
      <c r="E53" s="161"/>
      <c r="F53" s="314">
        <f t="shared" si="5"/>
        <v>-4239.999999999999</v>
      </c>
      <c r="G53" s="315">
        <f>-1029.34+0.2</f>
        <v>-1029.1399999999999</v>
      </c>
      <c r="H53" s="315">
        <f>-1210.905+242.7+4.4</f>
        <v>-963.805</v>
      </c>
      <c r="I53" s="315">
        <f>-1146.19587+15.4+11.8</f>
        <v>-1118.99587</v>
      </c>
      <c r="J53" s="315">
        <f>-1128059.13/1000</f>
        <v>-1128.0591299999999</v>
      </c>
      <c r="K53" s="289"/>
      <c r="L53" s="295">
        <f t="shared" si="6"/>
        <v>4140000</v>
      </c>
      <c r="M53" s="302">
        <v>1029140</v>
      </c>
      <c r="N53" s="302">
        <v>963805</v>
      </c>
      <c r="O53" s="302">
        <v>1118995.87</v>
      </c>
      <c r="P53" s="302">
        <f>1127221.55+837.58-100000</f>
        <v>1028059.1300000001</v>
      </c>
      <c r="Q53" s="372"/>
      <c r="R53" s="372">
        <v>1127221.55</v>
      </c>
      <c r="S53" s="302">
        <v>1115711.55</v>
      </c>
      <c r="T53" s="202">
        <f t="shared" si="7"/>
        <v>1029140</v>
      </c>
      <c r="U53" s="202">
        <f t="shared" si="8"/>
        <v>963805</v>
      </c>
      <c r="V53" s="202">
        <f t="shared" si="9"/>
        <v>1118995.87</v>
      </c>
      <c r="W53" s="202">
        <f t="shared" si="10"/>
        <v>1028059.1300000001</v>
      </c>
      <c r="Z53" s="338">
        <f t="shared" si="3"/>
        <v>4239999.999999999</v>
      </c>
      <c r="AC53" s="25" t="s">
        <v>741</v>
      </c>
      <c r="AD53" s="25" t="s">
        <v>742</v>
      </c>
      <c r="AE53" s="280">
        <v>6000</v>
      </c>
      <c r="AF53" s="341">
        <v>6000</v>
      </c>
      <c r="AG53" s="352">
        <f t="shared" si="1"/>
        <v>6000</v>
      </c>
      <c r="AH53" s="353">
        <v>4503</v>
      </c>
      <c r="AI53" s="354">
        <f t="shared" si="0"/>
        <v>1497</v>
      </c>
      <c r="AK53" s="354"/>
    </row>
    <row r="54" spans="1:37" s="171" customFormat="1" ht="18.75">
      <c r="A54" s="158">
        <v>20</v>
      </c>
      <c r="B54" s="159" t="s">
        <v>530</v>
      </c>
      <c r="C54" s="151">
        <v>200</v>
      </c>
      <c r="D54" s="161"/>
      <c r="E54" s="161"/>
      <c r="F54" s="314">
        <f t="shared" si="5"/>
        <v>-36</v>
      </c>
      <c r="G54" s="315">
        <v>-3.6</v>
      </c>
      <c r="H54" s="315">
        <v>-17</v>
      </c>
      <c r="I54" s="315">
        <v>-8.9</v>
      </c>
      <c r="J54" s="315">
        <v>-6.5</v>
      </c>
      <c r="K54" s="289"/>
      <c r="L54" s="288">
        <f t="shared" si="6"/>
        <v>36000</v>
      </c>
      <c r="M54" s="366">
        <v>3600</v>
      </c>
      <c r="N54" s="366">
        <v>17000</v>
      </c>
      <c r="O54" s="366">
        <v>8900</v>
      </c>
      <c r="P54" s="366">
        <v>6500</v>
      </c>
      <c r="Q54" s="287"/>
      <c r="R54" s="287"/>
      <c r="T54" s="202">
        <f t="shared" si="7"/>
        <v>3600</v>
      </c>
      <c r="U54" s="202">
        <f t="shared" si="8"/>
        <v>17000</v>
      </c>
      <c r="V54" s="202">
        <f t="shared" si="9"/>
        <v>8900</v>
      </c>
      <c r="W54" s="202">
        <f t="shared" si="10"/>
        <v>6500</v>
      </c>
      <c r="Z54" s="338">
        <f t="shared" si="3"/>
        <v>36000</v>
      </c>
      <c r="AC54" s="25" t="s">
        <v>851</v>
      </c>
      <c r="AD54" s="25" t="s">
        <v>850</v>
      </c>
      <c r="AE54" s="280"/>
      <c r="AF54" s="341">
        <v>1775</v>
      </c>
      <c r="AG54" s="352">
        <f t="shared" si="1"/>
        <v>1775</v>
      </c>
      <c r="AH54" s="353">
        <v>1775</v>
      </c>
      <c r="AI54" s="354">
        <f t="shared" si="0"/>
        <v>0</v>
      </c>
      <c r="AK54" s="354"/>
    </row>
    <row r="55" spans="1:37" s="171" customFormat="1" ht="18.75">
      <c r="A55" s="158">
        <v>21</v>
      </c>
      <c r="B55" s="159" t="s">
        <v>531</v>
      </c>
      <c r="C55" s="151">
        <v>210</v>
      </c>
      <c r="D55" s="161"/>
      <c r="E55" s="161"/>
      <c r="F55" s="314">
        <f t="shared" si="5"/>
        <v>-7.5</v>
      </c>
      <c r="G55" s="315">
        <v>-6</v>
      </c>
      <c r="H55" s="315">
        <v>0</v>
      </c>
      <c r="I55" s="315">
        <v>0</v>
      </c>
      <c r="J55" s="315">
        <v>-1.5</v>
      </c>
      <c r="K55" s="289"/>
      <c r="L55" s="288">
        <f t="shared" si="6"/>
        <v>7500</v>
      </c>
      <c r="M55" s="366">
        <v>6000</v>
      </c>
      <c r="N55" s="366">
        <v>0</v>
      </c>
      <c r="O55" s="366">
        <v>0</v>
      </c>
      <c r="P55" s="366">
        <v>1500</v>
      </c>
      <c r="Q55" s="287"/>
      <c r="R55" s="287"/>
      <c r="T55" s="202">
        <f t="shared" si="7"/>
        <v>6000</v>
      </c>
      <c r="U55" s="202">
        <f t="shared" si="8"/>
        <v>0</v>
      </c>
      <c r="V55" s="202">
        <f t="shared" si="9"/>
        <v>0</v>
      </c>
      <c r="W55" s="202">
        <f t="shared" si="10"/>
        <v>1500</v>
      </c>
      <c r="Z55" s="338">
        <f t="shared" si="3"/>
        <v>7500</v>
      </c>
      <c r="AC55" s="25" t="s">
        <v>743</v>
      </c>
      <c r="AD55" s="25" t="s">
        <v>781</v>
      </c>
      <c r="AE55" s="280">
        <v>20000</v>
      </c>
      <c r="AF55" s="341">
        <v>20000</v>
      </c>
      <c r="AG55" s="352">
        <f t="shared" si="1"/>
        <v>20000</v>
      </c>
      <c r="AH55" s="353">
        <v>16155</v>
      </c>
      <c r="AI55" s="354">
        <f t="shared" si="0"/>
        <v>3845</v>
      </c>
      <c r="AK55" s="354"/>
    </row>
    <row r="56" spans="1:37" s="171" customFormat="1" ht="37.5">
      <c r="A56" s="158">
        <v>22</v>
      </c>
      <c r="B56" s="159" t="s">
        <v>532</v>
      </c>
      <c r="C56" s="151">
        <v>220</v>
      </c>
      <c r="D56" s="161"/>
      <c r="E56" s="161"/>
      <c r="F56" s="314">
        <f t="shared" si="5"/>
        <v>0</v>
      </c>
      <c r="G56" s="315">
        <v>0</v>
      </c>
      <c r="H56" s="315">
        <v>0</v>
      </c>
      <c r="I56" s="315">
        <v>0</v>
      </c>
      <c r="J56" s="315">
        <v>0</v>
      </c>
      <c r="K56" s="190"/>
      <c r="L56" s="288">
        <f>M56+N56+O56+P56</f>
        <v>6800</v>
      </c>
      <c r="M56" s="366">
        <v>0</v>
      </c>
      <c r="N56" s="366">
        <v>1100</v>
      </c>
      <c r="O56" s="366">
        <v>4600</v>
      </c>
      <c r="P56" s="366">
        <v>1100</v>
      </c>
      <c r="Q56" s="287"/>
      <c r="R56" s="287"/>
      <c r="T56" s="202">
        <f t="shared" si="7"/>
        <v>0</v>
      </c>
      <c r="U56" s="202">
        <f t="shared" si="8"/>
        <v>1100</v>
      </c>
      <c r="V56" s="202">
        <f t="shared" si="9"/>
        <v>4600</v>
      </c>
      <c r="W56" s="202">
        <f t="shared" si="10"/>
        <v>1100</v>
      </c>
      <c r="Z56" s="338">
        <f t="shared" si="3"/>
        <v>0</v>
      </c>
      <c r="AC56" s="25" t="s">
        <v>329</v>
      </c>
      <c r="AD56" s="25" t="s">
        <v>750</v>
      </c>
      <c r="AE56" s="280">
        <v>45000</v>
      </c>
      <c r="AF56" s="341">
        <v>45000</v>
      </c>
      <c r="AG56" s="352">
        <f t="shared" si="1"/>
        <v>45000</v>
      </c>
      <c r="AH56" s="353">
        <v>45000</v>
      </c>
      <c r="AI56" s="354">
        <f t="shared" si="0"/>
        <v>0</v>
      </c>
      <c r="AK56" s="354"/>
    </row>
    <row r="57" spans="1:37" s="171" customFormat="1" ht="37.5">
      <c r="A57" s="158">
        <v>23</v>
      </c>
      <c r="B57" s="159" t="s">
        <v>533</v>
      </c>
      <c r="C57" s="151">
        <v>230</v>
      </c>
      <c r="D57" s="161"/>
      <c r="E57" s="161"/>
      <c r="F57" s="314">
        <f t="shared" si="5"/>
        <v>-391.435</v>
      </c>
      <c r="G57" s="315">
        <v>-20</v>
      </c>
      <c r="H57" s="315">
        <v>-300</v>
      </c>
      <c r="I57" s="315">
        <v>-71.435</v>
      </c>
      <c r="J57" s="315">
        <v>0</v>
      </c>
      <c r="K57" s="289"/>
      <c r="L57" s="288">
        <f>M57+N57+O57+P57</f>
        <v>391435</v>
      </c>
      <c r="M57" s="366">
        <v>20000</v>
      </c>
      <c r="N57" s="366">
        <v>300000</v>
      </c>
      <c r="O57" s="366">
        <v>71435</v>
      </c>
      <c r="P57" s="366">
        <v>0</v>
      </c>
      <c r="Q57" s="371">
        <v>391435</v>
      </c>
      <c r="R57" s="371"/>
      <c r="T57" s="202">
        <f t="shared" si="7"/>
        <v>20000</v>
      </c>
      <c r="U57" s="202">
        <f t="shared" si="8"/>
        <v>300000</v>
      </c>
      <c r="V57" s="202">
        <f t="shared" si="9"/>
        <v>71435</v>
      </c>
      <c r="W57" s="202">
        <f t="shared" si="10"/>
        <v>0</v>
      </c>
      <c r="Z57" s="338">
        <f t="shared" si="3"/>
        <v>391435</v>
      </c>
      <c r="AC57" s="25" t="s">
        <v>209</v>
      </c>
      <c r="AD57" s="25" t="s">
        <v>210</v>
      </c>
      <c r="AE57" s="280">
        <v>4000</v>
      </c>
      <c r="AF57" s="341">
        <v>4000</v>
      </c>
      <c r="AG57" s="352">
        <f t="shared" si="1"/>
        <v>4000</v>
      </c>
      <c r="AH57" s="353">
        <v>1167</v>
      </c>
      <c r="AI57" s="354">
        <f t="shared" si="0"/>
        <v>2833</v>
      </c>
      <c r="AK57" s="354"/>
    </row>
    <row r="58" spans="1:37" s="171" customFormat="1" ht="18.75">
      <c r="A58" s="158">
        <v>24</v>
      </c>
      <c r="B58" s="159" t="s">
        <v>535</v>
      </c>
      <c r="C58" s="151">
        <v>240</v>
      </c>
      <c r="D58" s="161"/>
      <c r="E58" s="161"/>
      <c r="F58" s="314">
        <f t="shared" si="5"/>
        <v>0</v>
      </c>
      <c r="G58" s="315">
        <v>0</v>
      </c>
      <c r="H58" s="315">
        <v>0</v>
      </c>
      <c r="I58" s="315">
        <v>0</v>
      </c>
      <c r="J58" s="315">
        <v>0</v>
      </c>
      <c r="K58" s="190"/>
      <c r="L58" s="288"/>
      <c r="M58" s="190"/>
      <c r="N58" s="190"/>
      <c r="O58" s="190"/>
      <c r="P58" s="190"/>
      <c r="Q58" s="287"/>
      <c r="R58" s="287"/>
      <c r="T58" s="202">
        <f t="shared" si="7"/>
        <v>0</v>
      </c>
      <c r="U58" s="202">
        <f t="shared" si="8"/>
        <v>0</v>
      </c>
      <c r="V58" s="202">
        <f t="shared" si="9"/>
        <v>0</v>
      </c>
      <c r="W58" s="202">
        <f t="shared" si="10"/>
        <v>0</v>
      </c>
      <c r="Z58" s="338">
        <f t="shared" si="3"/>
        <v>0</v>
      </c>
      <c r="AC58" s="25" t="s">
        <v>882</v>
      </c>
      <c r="AD58" s="25" t="s">
        <v>883</v>
      </c>
      <c r="AE58" s="280"/>
      <c r="AF58" s="341">
        <v>1714.26</v>
      </c>
      <c r="AG58" s="352">
        <f t="shared" si="1"/>
        <v>1714.26</v>
      </c>
      <c r="AH58" s="353">
        <v>1714.26</v>
      </c>
      <c r="AI58" s="354">
        <f t="shared" si="0"/>
        <v>0</v>
      </c>
      <c r="AK58" s="354"/>
    </row>
    <row r="59" spans="1:37" s="171" customFormat="1" ht="18.75">
      <c r="A59" s="158">
        <v>25</v>
      </c>
      <c r="B59" s="159" t="s">
        <v>628</v>
      </c>
      <c r="C59" s="160">
        <v>250</v>
      </c>
      <c r="D59" s="161"/>
      <c r="E59" s="161"/>
      <c r="F59" s="314">
        <f t="shared" si="5"/>
        <v>-2.8</v>
      </c>
      <c r="G59" s="315">
        <v>0</v>
      </c>
      <c r="H59" s="315">
        <v>-1.4</v>
      </c>
      <c r="I59" s="315">
        <v>-1.4</v>
      </c>
      <c r="J59" s="315">
        <v>0</v>
      </c>
      <c r="K59" s="190"/>
      <c r="L59" s="288">
        <f>M59+N59+O59+P59</f>
        <v>2800</v>
      </c>
      <c r="M59" s="366" t="s">
        <v>898</v>
      </c>
      <c r="N59" s="366" t="s">
        <v>899</v>
      </c>
      <c r="O59" s="366" t="s">
        <v>899</v>
      </c>
      <c r="P59" s="366"/>
      <c r="Q59" s="371">
        <v>2800</v>
      </c>
      <c r="R59" s="371"/>
      <c r="T59" s="202" t="str">
        <f t="shared" si="7"/>
        <v>0</v>
      </c>
      <c r="U59" s="202" t="str">
        <f t="shared" si="8"/>
        <v>1400</v>
      </c>
      <c r="V59" s="202" t="str">
        <f t="shared" si="9"/>
        <v>1400</v>
      </c>
      <c r="W59" s="202">
        <f t="shared" si="10"/>
        <v>0</v>
      </c>
      <c r="Z59" s="338">
        <f t="shared" si="3"/>
        <v>2800</v>
      </c>
      <c r="AC59" s="25" t="s">
        <v>884</v>
      </c>
      <c r="AD59" s="25" t="s">
        <v>885</v>
      </c>
      <c r="AE59" s="280"/>
      <c r="AF59" s="341">
        <v>281</v>
      </c>
      <c r="AG59" s="352">
        <f t="shared" si="1"/>
        <v>281</v>
      </c>
      <c r="AH59" s="353">
        <v>281</v>
      </c>
      <c r="AI59" s="354">
        <f t="shared" si="0"/>
        <v>0</v>
      </c>
      <c r="AK59" s="354"/>
    </row>
    <row r="60" spans="1:37" ht="18.75">
      <c r="A60" s="158">
        <v>26</v>
      </c>
      <c r="B60" s="159" t="s">
        <v>538</v>
      </c>
      <c r="C60" s="160">
        <v>260</v>
      </c>
      <c r="D60" s="167">
        <f>SUM(D61:D69,D71)</f>
        <v>0</v>
      </c>
      <c r="E60" s="167">
        <f>SUM(E61:E69,E71)</f>
        <v>0</v>
      </c>
      <c r="F60" s="316">
        <f t="shared" si="5"/>
        <v>-4649.899810000001</v>
      </c>
      <c r="G60" s="314">
        <f>SUM(G61:G71)</f>
        <v>-1155.81718</v>
      </c>
      <c r="H60" s="314">
        <f>SUM(H61:H71)</f>
        <v>-1153.60915</v>
      </c>
      <c r="I60" s="314">
        <f>SUM(I61:I71)</f>
        <v>-1160.4722900000002</v>
      </c>
      <c r="J60" s="314">
        <f>SUM(J61:J71)</f>
        <v>-1180.0011900000002</v>
      </c>
      <c r="K60" s="190"/>
      <c r="L60" s="286"/>
      <c r="M60" s="332" t="s">
        <v>823</v>
      </c>
      <c r="N60" s="190"/>
      <c r="O60" s="190"/>
      <c r="P60" s="190"/>
      <c r="Q60" s="287"/>
      <c r="R60" s="287"/>
      <c r="T60" s="336">
        <f>T61+T62+T63+T64+T65+T66+T67+T68+T69+T70+T71</f>
        <v>1155817.18</v>
      </c>
      <c r="U60" s="336">
        <f>U61+U62+U63+U64+U65+U66+U67+U68+U69+U70+U71</f>
        <v>1153609.15</v>
      </c>
      <c r="V60" s="336">
        <f>V61+V62+V63+V64+V65+V66+V67+V68+V69+V70+V71</f>
        <v>1160472.48</v>
      </c>
      <c r="W60" s="336">
        <f>W61+W62+W63+W64+W65+W66+W67+W68+W69+W70+W71</f>
        <v>1180001.19</v>
      </c>
      <c r="Z60" s="338">
        <f t="shared" si="3"/>
        <v>4649899.8100000005</v>
      </c>
      <c r="AC60" s="25" t="s">
        <v>202</v>
      </c>
      <c r="AD60" s="25" t="s">
        <v>203</v>
      </c>
      <c r="AE60" s="280">
        <v>3000</v>
      </c>
      <c r="AF60" s="341">
        <v>9000</v>
      </c>
      <c r="AG60" s="352">
        <f t="shared" si="1"/>
        <v>9000</v>
      </c>
      <c r="AH60" s="353">
        <v>7690.02</v>
      </c>
      <c r="AI60" s="354">
        <f t="shared" si="0"/>
        <v>1309.9799999999996</v>
      </c>
      <c r="AK60" s="354"/>
    </row>
    <row r="61" spans="1:37" ht="56.25">
      <c r="A61" s="158">
        <v>27</v>
      </c>
      <c r="B61" s="165" t="s">
        <v>539</v>
      </c>
      <c r="C61" s="166">
        <v>261</v>
      </c>
      <c r="D61" s="161"/>
      <c r="E61" s="161"/>
      <c r="F61" s="314">
        <f t="shared" si="5"/>
        <v>-11</v>
      </c>
      <c r="G61" s="315">
        <v>-6.6</v>
      </c>
      <c r="H61" s="315">
        <v>-1.7</v>
      </c>
      <c r="I61" s="315">
        <v>-1.3</v>
      </c>
      <c r="J61" s="315">
        <v>-1.4</v>
      </c>
      <c r="K61" s="289"/>
      <c r="L61" s="295">
        <f aca="true" t="shared" si="11" ref="L61:L69">M61+N61+O61+P61</f>
        <v>11000</v>
      </c>
      <c r="M61" s="366">
        <v>6600</v>
      </c>
      <c r="N61" s="366">
        <v>1700</v>
      </c>
      <c r="O61" s="366">
        <v>1300</v>
      </c>
      <c r="P61" s="366">
        <v>1400</v>
      </c>
      <c r="Q61" s="370">
        <v>11000</v>
      </c>
      <c r="R61" s="370"/>
      <c r="T61" s="294">
        <f aca="true" t="shared" si="12" ref="T61:T71">M61</f>
        <v>6600</v>
      </c>
      <c r="U61" s="294">
        <f aca="true" t="shared" si="13" ref="U61:U71">N61</f>
        <v>1700</v>
      </c>
      <c r="V61" s="294">
        <f aca="true" t="shared" si="14" ref="V61:V71">O61</f>
        <v>1300</v>
      </c>
      <c r="W61" s="294">
        <f aca="true" t="shared" si="15" ref="W61:W71">P61</f>
        <v>1400</v>
      </c>
      <c r="Z61" s="338">
        <f t="shared" si="3"/>
        <v>11000</v>
      </c>
      <c r="AC61" s="25" t="s">
        <v>852</v>
      </c>
      <c r="AD61" s="25" t="s">
        <v>886</v>
      </c>
      <c r="AE61" s="280"/>
      <c r="AF61" s="341">
        <v>4500</v>
      </c>
      <c r="AG61" s="352">
        <f t="shared" si="1"/>
        <v>4500</v>
      </c>
      <c r="AH61" s="353">
        <v>3587</v>
      </c>
      <c r="AI61" s="354">
        <f t="shared" si="0"/>
        <v>913</v>
      </c>
      <c r="AK61" s="354"/>
    </row>
    <row r="62" spans="1:37" ht="37.5">
      <c r="A62" s="158">
        <v>28</v>
      </c>
      <c r="B62" s="165" t="s">
        <v>527</v>
      </c>
      <c r="C62" s="166">
        <v>262</v>
      </c>
      <c r="D62" s="161"/>
      <c r="E62" s="161"/>
      <c r="F62" s="314">
        <f t="shared" si="5"/>
        <v>-80</v>
      </c>
      <c r="G62" s="315">
        <v>-18</v>
      </c>
      <c r="H62" s="315">
        <v>-14</v>
      </c>
      <c r="I62" s="315">
        <v>-30</v>
      </c>
      <c r="J62" s="315">
        <v>-18</v>
      </c>
      <c r="K62" s="289"/>
      <c r="L62" s="295">
        <f t="shared" si="11"/>
        <v>80000</v>
      </c>
      <c r="M62" s="366">
        <v>18000</v>
      </c>
      <c r="N62" s="366">
        <v>14000</v>
      </c>
      <c r="O62" s="366">
        <v>30000</v>
      </c>
      <c r="P62" s="366">
        <v>18000</v>
      </c>
      <c r="Q62" s="370">
        <v>80000</v>
      </c>
      <c r="R62" s="370"/>
      <c r="T62" s="294">
        <f t="shared" si="12"/>
        <v>18000</v>
      </c>
      <c r="U62" s="294">
        <f t="shared" si="13"/>
        <v>14000</v>
      </c>
      <c r="V62" s="294">
        <f t="shared" si="14"/>
        <v>30000</v>
      </c>
      <c r="W62" s="294">
        <f t="shared" si="15"/>
        <v>18000</v>
      </c>
      <c r="Z62" s="338">
        <f t="shared" si="3"/>
        <v>80000</v>
      </c>
      <c r="AC62" s="25" t="s">
        <v>744</v>
      </c>
      <c r="AD62" s="25" t="s">
        <v>745</v>
      </c>
      <c r="AE62" s="280">
        <v>3000</v>
      </c>
      <c r="AF62" s="341">
        <v>8000</v>
      </c>
      <c r="AG62" s="352">
        <f t="shared" si="1"/>
        <v>8000</v>
      </c>
      <c r="AH62" s="353">
        <v>4058</v>
      </c>
      <c r="AI62" s="354">
        <f t="shared" si="0"/>
        <v>3942</v>
      </c>
      <c r="AK62" s="354"/>
    </row>
    <row r="63" spans="1:37" s="171" customFormat="1" ht="18.75">
      <c r="A63" s="158">
        <v>29</v>
      </c>
      <c r="B63" s="165" t="s">
        <v>541</v>
      </c>
      <c r="C63" s="166">
        <v>263</v>
      </c>
      <c r="D63" s="161"/>
      <c r="E63" s="161"/>
      <c r="F63" s="314">
        <f t="shared" si="5"/>
        <v>-4</v>
      </c>
      <c r="G63" s="315">
        <v>0</v>
      </c>
      <c r="H63" s="315">
        <v>0</v>
      </c>
      <c r="I63" s="315">
        <v>-1.7</v>
      </c>
      <c r="J63" s="315">
        <v>-2.3</v>
      </c>
      <c r="K63" s="289"/>
      <c r="L63" s="288">
        <f t="shared" si="11"/>
        <v>4000</v>
      </c>
      <c r="M63" s="366">
        <v>0</v>
      </c>
      <c r="N63" s="366">
        <v>0</v>
      </c>
      <c r="O63" s="366">
        <v>1700</v>
      </c>
      <c r="P63" s="366">
        <v>2300</v>
      </c>
      <c r="Q63" s="287"/>
      <c r="R63" s="287"/>
      <c r="T63" s="294">
        <f t="shared" si="12"/>
        <v>0</v>
      </c>
      <c r="U63" s="294">
        <f t="shared" si="13"/>
        <v>0</v>
      </c>
      <c r="V63" s="294">
        <f t="shared" si="14"/>
        <v>1700</v>
      </c>
      <c r="W63" s="294">
        <f t="shared" si="15"/>
        <v>2300</v>
      </c>
      <c r="Z63" s="338">
        <f t="shared" si="3"/>
        <v>4000</v>
      </c>
      <c r="AC63" s="25" t="s">
        <v>746</v>
      </c>
      <c r="AD63" s="25" t="s">
        <v>747</v>
      </c>
      <c r="AE63" s="280">
        <v>3000</v>
      </c>
      <c r="AF63" s="341">
        <v>4000</v>
      </c>
      <c r="AG63" s="352">
        <f t="shared" si="1"/>
        <v>4000</v>
      </c>
      <c r="AH63" s="353">
        <v>3081</v>
      </c>
      <c r="AI63" s="354">
        <f t="shared" si="0"/>
        <v>919</v>
      </c>
      <c r="AK63" s="354"/>
    </row>
    <row r="64" spans="1:37" s="171" customFormat="1" ht="18.75">
      <c r="A64" s="158">
        <v>30</v>
      </c>
      <c r="B64" s="165" t="s">
        <v>543</v>
      </c>
      <c r="C64" s="166">
        <v>264</v>
      </c>
      <c r="D64" s="161"/>
      <c r="E64" s="161"/>
      <c r="F64" s="314">
        <f t="shared" si="5"/>
        <v>-3549.99981</v>
      </c>
      <c r="G64" s="315">
        <v>-845.113</v>
      </c>
      <c r="H64" s="315">
        <v>-895.927</v>
      </c>
      <c r="I64" s="315">
        <v>-884.899</v>
      </c>
      <c r="J64" s="315">
        <f>-924060.81/1000</f>
        <v>-924.0608100000001</v>
      </c>
      <c r="K64" s="289"/>
      <c r="L64" s="295">
        <f t="shared" si="11"/>
        <v>3550000</v>
      </c>
      <c r="M64" s="302">
        <v>845113</v>
      </c>
      <c r="N64" s="302">
        <v>895927</v>
      </c>
      <c r="O64" s="302">
        <v>884899.19</v>
      </c>
      <c r="P64" s="302">
        <v>924060.81</v>
      </c>
      <c r="Q64" s="372"/>
      <c r="R64" s="372">
        <v>924060.81</v>
      </c>
      <c r="S64" s="302">
        <v>906941.65</v>
      </c>
      <c r="T64" s="294">
        <f t="shared" si="12"/>
        <v>845113</v>
      </c>
      <c r="U64" s="294">
        <f t="shared" si="13"/>
        <v>895927</v>
      </c>
      <c r="V64" s="294">
        <f t="shared" si="14"/>
        <v>884899.19</v>
      </c>
      <c r="W64" s="294">
        <f t="shared" si="15"/>
        <v>924060.81</v>
      </c>
      <c r="Z64" s="338">
        <f t="shared" si="3"/>
        <v>3549999.8099999996</v>
      </c>
      <c r="AC64" s="25" t="s">
        <v>748</v>
      </c>
      <c r="AD64" s="25" t="s">
        <v>749</v>
      </c>
      <c r="AE64" s="280">
        <v>1000</v>
      </c>
      <c r="AF64" s="341">
        <v>1000</v>
      </c>
      <c r="AG64" s="352">
        <f t="shared" si="1"/>
        <v>1000</v>
      </c>
      <c r="AH64" s="353">
        <v>807</v>
      </c>
      <c r="AI64" s="354">
        <f t="shared" si="0"/>
        <v>193</v>
      </c>
      <c r="AK64" s="354"/>
    </row>
    <row r="65" spans="1:37" s="171" customFormat="1" ht="18.75">
      <c r="A65" s="158">
        <v>31</v>
      </c>
      <c r="B65" s="165" t="s">
        <v>544</v>
      </c>
      <c r="C65" s="166">
        <v>265</v>
      </c>
      <c r="D65" s="161"/>
      <c r="E65" s="161"/>
      <c r="F65" s="314">
        <f t="shared" si="5"/>
        <v>-780.0000000000001</v>
      </c>
      <c r="G65" s="315">
        <v>-185.10418</v>
      </c>
      <c r="H65" s="315">
        <f>-192.78215-4.4</f>
        <v>-197.18215</v>
      </c>
      <c r="I65" s="315">
        <f>-182.87329-11.8</f>
        <v>-194.67329</v>
      </c>
      <c r="J65" s="315">
        <f>-203040.38/1000</f>
        <v>-203.04038</v>
      </c>
      <c r="K65" s="289"/>
      <c r="L65" s="295">
        <f t="shared" si="11"/>
        <v>780000</v>
      </c>
      <c r="M65" s="302">
        <v>185104.18</v>
      </c>
      <c r="N65" s="302">
        <v>197182.15</v>
      </c>
      <c r="O65" s="302">
        <v>194673.29</v>
      </c>
      <c r="P65" s="302">
        <v>203040.38</v>
      </c>
      <c r="Q65" s="372"/>
      <c r="R65" s="372">
        <v>202092.1</v>
      </c>
      <c r="S65" s="302">
        <v>195600.65</v>
      </c>
      <c r="T65" s="294">
        <f t="shared" si="12"/>
        <v>185104.18</v>
      </c>
      <c r="U65" s="294">
        <f t="shared" si="13"/>
        <v>197182.15</v>
      </c>
      <c r="V65" s="294">
        <f t="shared" si="14"/>
        <v>194673.29</v>
      </c>
      <c r="W65" s="294">
        <f t="shared" si="15"/>
        <v>203040.38</v>
      </c>
      <c r="Z65" s="338">
        <f t="shared" si="3"/>
        <v>780000.0000000001</v>
      </c>
      <c r="AC65" s="393" t="s">
        <v>212</v>
      </c>
      <c r="AD65" s="394"/>
      <c r="AE65" s="44">
        <f>SUM(AE3:AE64)</f>
        <v>1133000</v>
      </c>
      <c r="AF65" s="342">
        <f>SUM(AF3:AF64)</f>
        <v>1379276.42</v>
      </c>
      <c r="AG65" s="355">
        <f>SUM(AG3:AG64)</f>
        <v>1379276.42</v>
      </c>
      <c r="AH65" s="355">
        <f>SUM(AH3:AH64)</f>
        <v>1188352.5000000002</v>
      </c>
      <c r="AI65" s="354">
        <f t="shared" si="0"/>
        <v>190923.9199999997</v>
      </c>
      <c r="AK65" s="365">
        <f>AG65-AG12-AG3-AG4</f>
        <v>1025852.4199999999</v>
      </c>
    </row>
    <row r="66" spans="1:35" s="171" customFormat="1" ht="18.75">
      <c r="A66" s="158">
        <v>32</v>
      </c>
      <c r="B66" s="165" t="s">
        <v>522</v>
      </c>
      <c r="C66" s="166">
        <v>266</v>
      </c>
      <c r="D66" s="161"/>
      <c r="E66" s="161"/>
      <c r="F66" s="314">
        <f t="shared" si="5"/>
        <v>-115</v>
      </c>
      <c r="G66" s="315">
        <v>-80</v>
      </c>
      <c r="H66" s="315">
        <v>-11</v>
      </c>
      <c r="I66" s="315">
        <v>-9</v>
      </c>
      <c r="J66" s="315">
        <v>-15</v>
      </c>
      <c r="K66" s="289"/>
      <c r="L66" s="288">
        <f t="shared" si="11"/>
        <v>115000</v>
      </c>
      <c r="M66" s="366">
        <v>80000</v>
      </c>
      <c r="N66" s="366">
        <v>11000</v>
      </c>
      <c r="O66" s="366">
        <v>9000</v>
      </c>
      <c r="P66" s="366">
        <f>Q66-M66-N66-O66</f>
        <v>15000</v>
      </c>
      <c r="Q66" s="370">
        <v>115000</v>
      </c>
      <c r="R66" s="370"/>
      <c r="T66" s="294">
        <f t="shared" si="12"/>
        <v>80000</v>
      </c>
      <c r="U66" s="294">
        <f t="shared" si="13"/>
        <v>11000</v>
      </c>
      <c r="V66" s="294">
        <f t="shared" si="14"/>
        <v>9000</v>
      </c>
      <c r="W66" s="294">
        <f t="shared" si="15"/>
        <v>15000</v>
      </c>
      <c r="Z66" s="338">
        <f t="shared" si="3"/>
        <v>115000</v>
      </c>
      <c r="AC66" s="42"/>
      <c r="AD66" s="43"/>
      <c r="AE66" s="44"/>
      <c r="AF66" s="342"/>
      <c r="AG66" s="356"/>
      <c r="AH66" s="356"/>
      <c r="AI66" s="354">
        <f t="shared" si="0"/>
        <v>0</v>
      </c>
    </row>
    <row r="67" spans="1:35" s="171" customFormat="1" ht="18.75">
      <c r="A67" s="158">
        <v>33</v>
      </c>
      <c r="B67" s="165" t="s">
        <v>523</v>
      </c>
      <c r="C67" s="166">
        <v>267</v>
      </c>
      <c r="D67" s="161"/>
      <c r="E67" s="161"/>
      <c r="F67" s="314">
        <f t="shared" si="5"/>
        <v>-3.1999999999999997</v>
      </c>
      <c r="G67" s="315">
        <v>-0.7</v>
      </c>
      <c r="H67" s="315">
        <v>-0.7</v>
      </c>
      <c r="I67" s="315">
        <v>-0.9</v>
      </c>
      <c r="J67" s="315">
        <v>-0.9</v>
      </c>
      <c r="K67" s="289"/>
      <c r="L67" s="288">
        <f t="shared" si="11"/>
        <v>3200</v>
      </c>
      <c r="M67" s="366">
        <v>700</v>
      </c>
      <c r="N67" s="366">
        <v>700</v>
      </c>
      <c r="O67" s="366">
        <v>900</v>
      </c>
      <c r="P67" s="366">
        <v>900</v>
      </c>
      <c r="Q67" s="370">
        <v>3200</v>
      </c>
      <c r="R67" s="370"/>
      <c r="T67" s="294">
        <f t="shared" si="12"/>
        <v>700</v>
      </c>
      <c r="U67" s="294">
        <f t="shared" si="13"/>
        <v>700</v>
      </c>
      <c r="V67" s="294">
        <f t="shared" si="14"/>
        <v>900</v>
      </c>
      <c r="W67" s="294">
        <f t="shared" si="15"/>
        <v>900</v>
      </c>
      <c r="Z67" s="338">
        <f t="shared" si="3"/>
        <v>3199.9999999999995</v>
      </c>
      <c r="AC67" s="373" t="s">
        <v>663</v>
      </c>
      <c r="AD67" s="373"/>
      <c r="AE67" s="61"/>
      <c r="AF67" s="339"/>
      <c r="AG67" s="357"/>
      <c r="AH67" s="357"/>
      <c r="AI67" s="354">
        <f aca="true" t="shared" si="16" ref="AI67:AI130">AG67-AH67</f>
        <v>0</v>
      </c>
    </row>
    <row r="68" spans="1:35" s="171" customFormat="1" ht="18.75">
      <c r="A68" s="158">
        <v>34</v>
      </c>
      <c r="B68" s="159" t="s">
        <v>520</v>
      </c>
      <c r="C68" s="166">
        <v>268</v>
      </c>
      <c r="D68" s="161"/>
      <c r="E68" s="161"/>
      <c r="F68" s="314">
        <f t="shared" si="5"/>
        <v>-35</v>
      </c>
      <c r="G68" s="315">
        <v>-15</v>
      </c>
      <c r="H68" s="315">
        <v>-6.5</v>
      </c>
      <c r="I68" s="315">
        <v>-8.5</v>
      </c>
      <c r="J68" s="315">
        <v>-5</v>
      </c>
      <c r="K68" s="289"/>
      <c r="L68" s="288">
        <f t="shared" si="11"/>
        <v>35000</v>
      </c>
      <c r="M68" s="366">
        <v>15000</v>
      </c>
      <c r="N68" s="366">
        <v>6500</v>
      </c>
      <c r="O68" s="366">
        <v>8500</v>
      </c>
      <c r="P68" s="366">
        <f>Q68-M68-N68-O68</f>
        <v>5000</v>
      </c>
      <c r="Q68" s="370">
        <v>35000</v>
      </c>
      <c r="R68" s="370"/>
      <c r="T68" s="294">
        <f t="shared" si="12"/>
        <v>15000</v>
      </c>
      <c r="U68" s="294">
        <f t="shared" si="13"/>
        <v>6500</v>
      </c>
      <c r="V68" s="294">
        <f t="shared" si="14"/>
        <v>8500</v>
      </c>
      <c r="W68" s="294">
        <f t="shared" si="15"/>
        <v>5000</v>
      </c>
      <c r="Z68" s="338">
        <f t="shared" si="3"/>
        <v>35000</v>
      </c>
      <c r="AC68" s="374"/>
      <c r="AD68" s="374"/>
      <c r="AE68" s="70"/>
      <c r="AF68" s="340"/>
      <c r="AG68" s="358"/>
      <c r="AH68" s="358"/>
      <c r="AI68" s="354">
        <f t="shared" si="16"/>
        <v>0</v>
      </c>
    </row>
    <row r="69" spans="1:35" s="171" customFormat="1" ht="18.75">
      <c r="A69" s="158">
        <v>35</v>
      </c>
      <c r="B69" s="159" t="s">
        <v>531</v>
      </c>
      <c r="C69" s="166">
        <v>269</v>
      </c>
      <c r="D69" s="161"/>
      <c r="E69" s="161"/>
      <c r="F69" s="314">
        <f t="shared" si="5"/>
        <v>-24.5</v>
      </c>
      <c r="G69" s="315">
        <v>-2.8</v>
      </c>
      <c r="H69" s="315">
        <v>-0.6</v>
      </c>
      <c r="I69" s="315">
        <v>-13.3</v>
      </c>
      <c r="J69" s="315">
        <v>-7.8</v>
      </c>
      <c r="K69" s="289"/>
      <c r="L69" s="288">
        <f t="shared" si="11"/>
        <v>24500</v>
      </c>
      <c r="M69" s="366">
        <v>2800</v>
      </c>
      <c r="N69" s="366">
        <v>600</v>
      </c>
      <c r="O69" s="366">
        <v>13300</v>
      </c>
      <c r="P69" s="366">
        <v>7800</v>
      </c>
      <c r="Q69" s="287"/>
      <c r="R69" s="287"/>
      <c r="T69" s="294">
        <f t="shared" si="12"/>
        <v>2800</v>
      </c>
      <c r="U69" s="294">
        <f t="shared" si="13"/>
        <v>600</v>
      </c>
      <c r="V69" s="294">
        <f t="shared" si="14"/>
        <v>13300</v>
      </c>
      <c r="W69" s="294">
        <f t="shared" si="15"/>
        <v>7800</v>
      </c>
      <c r="Z69" s="338">
        <f t="shared" si="3"/>
        <v>24500</v>
      </c>
      <c r="AC69" s="25" t="s">
        <v>755</v>
      </c>
      <c r="AD69" s="25" t="s">
        <v>756</v>
      </c>
      <c r="AE69" s="276">
        <v>10000</v>
      </c>
      <c r="AF69" s="343">
        <v>30000</v>
      </c>
      <c r="AG69" s="359">
        <f>AF69</f>
        <v>30000</v>
      </c>
      <c r="AH69" s="354">
        <v>20741.8</v>
      </c>
      <c r="AI69" s="354">
        <f t="shared" si="16"/>
        <v>9258.2</v>
      </c>
    </row>
    <row r="70" spans="1:35" s="171" customFormat="1" ht="31.5">
      <c r="A70" s="158">
        <v>36</v>
      </c>
      <c r="B70" s="159" t="s">
        <v>547</v>
      </c>
      <c r="C70" s="160">
        <v>270</v>
      </c>
      <c r="D70" s="161"/>
      <c r="E70" s="161"/>
      <c r="F70" s="314">
        <f>SUM(G70:J70)</f>
        <v>0</v>
      </c>
      <c r="G70" s="315">
        <v>0</v>
      </c>
      <c r="H70" s="315">
        <v>0</v>
      </c>
      <c r="I70" s="315">
        <v>0</v>
      </c>
      <c r="J70" s="315">
        <v>0</v>
      </c>
      <c r="K70" s="190"/>
      <c r="L70" s="286"/>
      <c r="M70" s="190"/>
      <c r="N70" s="190"/>
      <c r="O70" s="190"/>
      <c r="P70" s="190"/>
      <c r="Q70" s="287"/>
      <c r="R70" s="287"/>
      <c r="T70" s="294">
        <f t="shared" si="12"/>
        <v>0</v>
      </c>
      <c r="U70" s="294">
        <f t="shared" si="13"/>
        <v>0</v>
      </c>
      <c r="V70" s="294">
        <f t="shared" si="14"/>
        <v>0</v>
      </c>
      <c r="W70" s="294">
        <f t="shared" si="15"/>
        <v>0</v>
      </c>
      <c r="Z70" s="338">
        <f t="shared" si="3"/>
        <v>0</v>
      </c>
      <c r="AC70" s="25" t="s">
        <v>757</v>
      </c>
      <c r="AD70" s="25" t="s">
        <v>758</v>
      </c>
      <c r="AE70" s="276">
        <v>4000</v>
      </c>
      <c r="AF70" s="343">
        <v>9000</v>
      </c>
      <c r="AG70" s="359">
        <f aca="true" t="shared" si="17" ref="AG70:AG78">AF70</f>
        <v>9000</v>
      </c>
      <c r="AH70" s="354">
        <v>5997.38</v>
      </c>
      <c r="AI70" s="354">
        <f t="shared" si="16"/>
        <v>3002.62</v>
      </c>
    </row>
    <row r="71" spans="1:35" s="171" customFormat="1" ht="37.5">
      <c r="A71" s="158">
        <v>37</v>
      </c>
      <c r="B71" s="159" t="s">
        <v>629</v>
      </c>
      <c r="C71" s="160">
        <v>280</v>
      </c>
      <c r="D71" s="161"/>
      <c r="E71" s="161"/>
      <c r="F71" s="314">
        <f t="shared" si="5"/>
        <v>-47.2</v>
      </c>
      <c r="G71" s="315">
        <v>-2.5</v>
      </c>
      <c r="H71" s="315">
        <v>-26</v>
      </c>
      <c r="I71" s="315">
        <v>-16.2</v>
      </c>
      <c r="J71" s="315">
        <v>-2.5</v>
      </c>
      <c r="K71" s="289"/>
      <c r="L71" s="295">
        <f>M71+N71+O71+P71</f>
        <v>47200</v>
      </c>
      <c r="M71" s="366">
        <v>2500</v>
      </c>
      <c r="N71" s="366">
        <v>26000</v>
      </c>
      <c r="O71" s="366">
        <v>16200</v>
      </c>
      <c r="P71" s="366">
        <v>2500</v>
      </c>
      <c r="Q71" s="371">
        <v>39870</v>
      </c>
      <c r="R71" s="371"/>
      <c r="T71" s="294">
        <f t="shared" si="12"/>
        <v>2500</v>
      </c>
      <c r="U71" s="294">
        <f t="shared" si="13"/>
        <v>26000</v>
      </c>
      <c r="V71" s="294">
        <f t="shared" si="14"/>
        <v>16200</v>
      </c>
      <c r="W71" s="294">
        <f t="shared" si="15"/>
        <v>2500</v>
      </c>
      <c r="Z71" s="338">
        <f t="shared" si="3"/>
        <v>47200</v>
      </c>
      <c r="AC71" s="25" t="s">
        <v>333</v>
      </c>
      <c r="AD71" s="25" t="s">
        <v>332</v>
      </c>
      <c r="AE71" s="276">
        <v>4000</v>
      </c>
      <c r="AF71" s="343">
        <v>19000</v>
      </c>
      <c r="AG71" s="359">
        <f t="shared" si="17"/>
        <v>19000</v>
      </c>
      <c r="AH71" s="354">
        <v>12352.36</v>
      </c>
      <c r="AI71" s="354">
        <f t="shared" si="16"/>
        <v>6647.639999999999</v>
      </c>
    </row>
    <row r="72" spans="1:35" s="171" customFormat="1" ht="18.75">
      <c r="A72" s="158">
        <v>38</v>
      </c>
      <c r="B72" s="159" t="s">
        <v>548</v>
      </c>
      <c r="C72" s="160">
        <v>290</v>
      </c>
      <c r="D72" s="169"/>
      <c r="E72" s="169"/>
      <c r="F72" s="314">
        <f t="shared" si="5"/>
        <v>0</v>
      </c>
      <c r="G72" s="317">
        <f>SUM(G73:G74)</f>
        <v>0</v>
      </c>
      <c r="H72" s="317">
        <f>SUM(H73:H74)</f>
        <v>0</v>
      </c>
      <c r="I72" s="317">
        <f>SUM(I73:I74)</f>
        <v>0</v>
      </c>
      <c r="J72" s="317">
        <f>SUM(J73:J74)</f>
        <v>0</v>
      </c>
      <c r="K72" s="190"/>
      <c r="L72" s="286"/>
      <c r="M72" s="332" t="s">
        <v>824</v>
      </c>
      <c r="N72" s="190"/>
      <c r="O72" s="190"/>
      <c r="P72" s="190"/>
      <c r="Q72" s="287"/>
      <c r="R72" s="287"/>
      <c r="T72" s="335">
        <f>T73+T74</f>
        <v>0</v>
      </c>
      <c r="U72" s="335">
        <f>U73+U74</f>
        <v>0</v>
      </c>
      <c r="V72" s="335">
        <f>V73+V74</f>
        <v>0</v>
      </c>
      <c r="W72" s="335">
        <f>W73+W74</f>
        <v>0</v>
      </c>
      <c r="Z72" s="338">
        <f t="shared" si="3"/>
        <v>0</v>
      </c>
      <c r="AC72" s="25" t="s">
        <v>759</v>
      </c>
      <c r="AD72" s="25" t="s">
        <v>760</v>
      </c>
      <c r="AE72" s="276">
        <v>37000</v>
      </c>
      <c r="AF72" s="343">
        <v>7620</v>
      </c>
      <c r="AG72" s="359">
        <f t="shared" si="17"/>
        <v>7620</v>
      </c>
      <c r="AH72" s="354">
        <v>7620</v>
      </c>
      <c r="AI72" s="354">
        <f t="shared" si="16"/>
        <v>0</v>
      </c>
    </row>
    <row r="73" spans="1:35" s="171" customFormat="1" ht="31.5">
      <c r="A73" s="158">
        <v>39</v>
      </c>
      <c r="B73" s="165" t="s">
        <v>549</v>
      </c>
      <c r="C73" s="176">
        <v>291</v>
      </c>
      <c r="D73" s="161"/>
      <c r="E73" s="161"/>
      <c r="F73" s="314">
        <f t="shared" si="5"/>
        <v>0</v>
      </c>
      <c r="G73" s="315">
        <v>0</v>
      </c>
      <c r="H73" s="315">
        <v>0</v>
      </c>
      <c r="I73" s="315">
        <v>0</v>
      </c>
      <c r="J73" s="315">
        <v>0</v>
      </c>
      <c r="K73" s="190"/>
      <c r="L73" s="286"/>
      <c r="M73" s="190"/>
      <c r="N73" s="190"/>
      <c r="O73" s="190"/>
      <c r="P73" s="190"/>
      <c r="Q73" s="287"/>
      <c r="R73" s="287"/>
      <c r="T73" s="337">
        <f aca="true" t="shared" si="18" ref="T73:W76">M73</f>
        <v>0</v>
      </c>
      <c r="U73" s="337">
        <f t="shared" si="18"/>
        <v>0</v>
      </c>
      <c r="V73" s="337">
        <f t="shared" si="18"/>
        <v>0</v>
      </c>
      <c r="W73" s="337">
        <f t="shared" si="18"/>
        <v>0</v>
      </c>
      <c r="Z73" s="338">
        <f t="shared" si="3"/>
        <v>0</v>
      </c>
      <c r="AC73" s="25" t="s">
        <v>763</v>
      </c>
      <c r="AD73" s="25" t="s">
        <v>764</v>
      </c>
      <c r="AE73" s="276">
        <v>150000</v>
      </c>
      <c r="AF73" s="343">
        <v>150000</v>
      </c>
      <c r="AG73" s="359">
        <f t="shared" si="17"/>
        <v>150000</v>
      </c>
      <c r="AH73" s="354">
        <v>142771.19</v>
      </c>
      <c r="AI73" s="354">
        <f t="shared" si="16"/>
        <v>7228.809999999998</v>
      </c>
    </row>
    <row r="74" spans="1:35" s="171" customFormat="1" ht="31.5">
      <c r="A74" s="158">
        <v>40</v>
      </c>
      <c r="B74" s="165" t="s">
        <v>550</v>
      </c>
      <c r="C74" s="176">
        <v>292</v>
      </c>
      <c r="D74" s="161"/>
      <c r="E74" s="161"/>
      <c r="F74" s="314">
        <f t="shared" si="5"/>
        <v>0</v>
      </c>
      <c r="G74" s="315">
        <v>0</v>
      </c>
      <c r="H74" s="315">
        <v>0</v>
      </c>
      <c r="I74" s="315">
        <v>0</v>
      </c>
      <c r="J74" s="315">
        <v>0</v>
      </c>
      <c r="K74" s="190"/>
      <c r="L74" s="286"/>
      <c r="M74" s="190"/>
      <c r="N74" s="190"/>
      <c r="O74" s="190"/>
      <c r="P74" s="190"/>
      <c r="Q74" s="287"/>
      <c r="R74" s="287"/>
      <c r="T74" s="337">
        <f t="shared" si="18"/>
        <v>0</v>
      </c>
      <c r="U74" s="337">
        <f t="shared" si="18"/>
        <v>0</v>
      </c>
      <c r="V74" s="337">
        <f t="shared" si="18"/>
        <v>0</v>
      </c>
      <c r="W74" s="337">
        <f t="shared" si="18"/>
        <v>0</v>
      </c>
      <c r="Z74" s="338">
        <f t="shared" si="3"/>
        <v>0</v>
      </c>
      <c r="AC74" s="25" t="s">
        <v>761</v>
      </c>
      <c r="AD74" s="25" t="s">
        <v>762</v>
      </c>
      <c r="AE74" s="276">
        <v>150000</v>
      </c>
      <c r="AF74" s="343">
        <v>150000</v>
      </c>
      <c r="AG74" s="359">
        <f t="shared" si="17"/>
        <v>150000</v>
      </c>
      <c r="AH74" s="354">
        <v>93629.8</v>
      </c>
      <c r="AI74" s="354">
        <f t="shared" si="16"/>
        <v>56370.2</v>
      </c>
    </row>
    <row r="75" spans="1:35" s="171" customFormat="1" ht="37.5">
      <c r="A75" s="158">
        <v>41</v>
      </c>
      <c r="B75" s="159" t="s">
        <v>552</v>
      </c>
      <c r="C75" s="142">
        <v>300</v>
      </c>
      <c r="D75" s="161"/>
      <c r="E75" s="161"/>
      <c r="F75" s="314">
        <f t="shared" si="5"/>
        <v>-30</v>
      </c>
      <c r="G75" s="319">
        <v>0</v>
      </c>
      <c r="H75" s="319">
        <v>0</v>
      </c>
      <c r="I75" s="319">
        <v>0</v>
      </c>
      <c r="J75" s="319">
        <v>-30</v>
      </c>
      <c r="K75" s="289"/>
      <c r="L75" s="288">
        <f>M75+N75+O75+P75</f>
        <v>30000</v>
      </c>
      <c r="M75" s="287"/>
      <c r="N75" s="287"/>
      <c r="O75" s="287"/>
      <c r="P75" s="287">
        <v>30000</v>
      </c>
      <c r="Q75" s="371">
        <v>30000</v>
      </c>
      <c r="R75" s="371"/>
      <c r="T75" s="337">
        <f t="shared" si="18"/>
        <v>0</v>
      </c>
      <c r="U75" s="337">
        <f t="shared" si="18"/>
        <v>0</v>
      </c>
      <c r="V75" s="337">
        <f t="shared" si="18"/>
        <v>0</v>
      </c>
      <c r="W75" s="337">
        <f t="shared" si="18"/>
        <v>30000</v>
      </c>
      <c r="Z75" s="338">
        <f t="shared" si="3"/>
        <v>30000</v>
      </c>
      <c r="AC75" s="25" t="s">
        <v>765</v>
      </c>
      <c r="AD75" s="25" t="s">
        <v>766</v>
      </c>
      <c r="AE75" s="276">
        <v>150000</v>
      </c>
      <c r="AF75" s="343">
        <v>150000</v>
      </c>
      <c r="AG75" s="359">
        <f t="shared" si="17"/>
        <v>150000</v>
      </c>
      <c r="AH75" s="354">
        <v>102425.49</v>
      </c>
      <c r="AI75" s="354">
        <f t="shared" si="16"/>
        <v>47574.509999999995</v>
      </c>
    </row>
    <row r="76" spans="1:35" s="171" customFormat="1" ht="18.75">
      <c r="A76" s="158">
        <v>42</v>
      </c>
      <c r="B76" s="177" t="s">
        <v>553</v>
      </c>
      <c r="C76" s="178"/>
      <c r="D76" s="178"/>
      <c r="E76" s="178"/>
      <c r="F76" s="178"/>
      <c r="G76" s="178"/>
      <c r="H76" s="178"/>
      <c r="I76" s="178"/>
      <c r="J76" s="179"/>
      <c r="K76" s="190"/>
      <c r="L76" s="286"/>
      <c r="M76" s="190"/>
      <c r="N76" s="190"/>
      <c r="O76" s="190"/>
      <c r="P76" s="190"/>
      <c r="Q76" s="287"/>
      <c r="R76" s="287"/>
      <c r="T76" s="337">
        <f t="shared" si="18"/>
        <v>0</v>
      </c>
      <c r="U76" s="337">
        <f t="shared" si="18"/>
        <v>0</v>
      </c>
      <c r="V76" s="337">
        <f t="shared" si="18"/>
        <v>0</v>
      </c>
      <c r="W76" s="337">
        <f t="shared" si="18"/>
        <v>0</v>
      </c>
      <c r="Z76" s="338">
        <f t="shared" si="3"/>
        <v>0</v>
      </c>
      <c r="AC76" s="25" t="s">
        <v>266</v>
      </c>
      <c r="AD76" s="25" t="s">
        <v>449</v>
      </c>
      <c r="AE76" s="276">
        <v>199000</v>
      </c>
      <c r="AF76" s="346">
        <v>77320</v>
      </c>
      <c r="AG76" s="359">
        <f t="shared" si="17"/>
        <v>77320</v>
      </c>
      <c r="AH76" s="354">
        <v>70175.2</v>
      </c>
      <c r="AI76" s="354">
        <f t="shared" si="16"/>
        <v>7144.800000000003</v>
      </c>
    </row>
    <row r="77" spans="1:35" s="171" customFormat="1" ht="18.75">
      <c r="A77" s="158">
        <v>43</v>
      </c>
      <c r="B77" s="159" t="s">
        <v>554</v>
      </c>
      <c r="C77" s="142">
        <v>310</v>
      </c>
      <c r="D77" s="161"/>
      <c r="E77" s="161"/>
      <c r="F77" s="314">
        <f aca="true" t="shared" si="19" ref="F77:F82">SUM(G77:J77)</f>
        <v>-3600.2506999999996</v>
      </c>
      <c r="G77" s="315">
        <f>G42+G45+G46+G51+G54+G55+G56+G57</f>
        <v>-963.6</v>
      </c>
      <c r="H77" s="315">
        <f>H42+H45+H46+H51+H54+H55+H56+H57</f>
        <v>-1140.5</v>
      </c>
      <c r="I77" s="315">
        <f>I42+I45+I46+I51+I54+I55+I56+I57</f>
        <v>-641.3</v>
      </c>
      <c r="J77" s="315">
        <f>J42+J45+J46+J51+J54+J55+J56+J57</f>
        <v>-854.8507</v>
      </c>
      <c r="K77" s="190"/>
      <c r="L77" s="286"/>
      <c r="M77" s="333" t="s">
        <v>819</v>
      </c>
      <c r="N77" s="190"/>
      <c r="O77" s="190"/>
      <c r="P77" s="190"/>
      <c r="Q77" s="287"/>
      <c r="R77" s="287"/>
      <c r="T77" s="331">
        <f>T42+T45+T46+T51+T54+T55+T56+T57</f>
        <v>963600</v>
      </c>
      <c r="U77" s="331">
        <f>U42+U45+U46+U51+U54+U55+U56+U57</f>
        <v>1141600</v>
      </c>
      <c r="V77" s="331">
        <f>V42+V45+V46+V51+V54+V55+V56+V57</f>
        <v>645900</v>
      </c>
      <c r="W77" s="331">
        <f>W42+W45+W46+W51+W54+W55+W56+W57</f>
        <v>855950.7</v>
      </c>
      <c r="Z77" s="338">
        <f t="shared" si="3"/>
        <v>3600250.6999999997</v>
      </c>
      <c r="AC77" s="25" t="s">
        <v>767</v>
      </c>
      <c r="AD77" s="25" t="s">
        <v>768</v>
      </c>
      <c r="AE77" s="276">
        <v>10000</v>
      </c>
      <c r="AF77" s="343">
        <v>10000</v>
      </c>
      <c r="AG77" s="359">
        <f t="shared" si="17"/>
        <v>10000</v>
      </c>
      <c r="AH77" s="354">
        <v>8575</v>
      </c>
      <c r="AI77" s="354">
        <f t="shared" si="16"/>
        <v>1425</v>
      </c>
    </row>
    <row r="78" spans="1:35" s="171" customFormat="1" ht="18.75">
      <c r="A78" s="158">
        <v>44</v>
      </c>
      <c r="B78" s="159" t="s">
        <v>528</v>
      </c>
      <c r="C78" s="142">
        <v>320</v>
      </c>
      <c r="D78" s="161"/>
      <c r="E78" s="161"/>
      <c r="F78" s="314">
        <f t="shared" si="19"/>
        <v>-22876.61242</v>
      </c>
      <c r="G78" s="315">
        <f>G52+G64</f>
        <v>-5518.393000000001</v>
      </c>
      <c r="H78" s="315">
        <f aca="true" t="shared" si="20" ref="H78:J79">H52+H64</f>
        <v>-5329.967</v>
      </c>
      <c r="I78" s="315">
        <f t="shared" si="20"/>
        <v>-6030.2880000000005</v>
      </c>
      <c r="J78" s="315">
        <f t="shared" si="20"/>
        <v>-5997.96442</v>
      </c>
      <c r="K78" s="190"/>
      <c r="M78" s="332" t="s">
        <v>825</v>
      </c>
      <c r="Q78" s="287"/>
      <c r="R78" s="287"/>
      <c r="T78" s="334">
        <f aca="true" t="shared" si="21" ref="T78:W79">T52+T64</f>
        <v>5518393</v>
      </c>
      <c r="U78" s="334">
        <f t="shared" si="21"/>
        <v>5329967</v>
      </c>
      <c r="V78" s="334">
        <f t="shared" si="21"/>
        <v>6030288.1899999995</v>
      </c>
      <c r="W78" s="334">
        <f t="shared" si="21"/>
        <v>6097964.42</v>
      </c>
      <c r="Z78" s="338">
        <f t="shared" si="3"/>
        <v>22876612.42</v>
      </c>
      <c r="AC78" s="25" t="s">
        <v>874</v>
      </c>
      <c r="AD78" s="25" t="s">
        <v>875</v>
      </c>
      <c r="AE78" s="276"/>
      <c r="AF78" s="343">
        <v>2500</v>
      </c>
      <c r="AG78" s="359">
        <f t="shared" si="17"/>
        <v>2500</v>
      </c>
      <c r="AH78" s="354">
        <v>1620</v>
      </c>
      <c r="AI78" s="354">
        <f t="shared" si="16"/>
        <v>880</v>
      </c>
    </row>
    <row r="79" spans="1:35" s="171" customFormat="1" ht="18.75">
      <c r="A79" s="158">
        <v>45</v>
      </c>
      <c r="B79" s="159" t="s">
        <v>529</v>
      </c>
      <c r="C79" s="142">
        <v>330</v>
      </c>
      <c r="D79" s="161"/>
      <c r="E79" s="161"/>
      <c r="F79" s="314">
        <f t="shared" si="19"/>
        <v>-5019.999999999999</v>
      </c>
      <c r="G79" s="315">
        <f>G53+G65</f>
        <v>-1214.24418</v>
      </c>
      <c r="H79" s="315">
        <f t="shared" si="20"/>
        <v>-1160.98715</v>
      </c>
      <c r="I79" s="315">
        <f t="shared" si="20"/>
        <v>-1313.66916</v>
      </c>
      <c r="J79" s="315">
        <f t="shared" si="20"/>
        <v>-1331.0995099999998</v>
      </c>
      <c r="K79" s="190"/>
      <c r="L79" s="286"/>
      <c r="M79" s="332" t="s">
        <v>826</v>
      </c>
      <c r="N79" s="190"/>
      <c r="O79" s="190"/>
      <c r="P79" s="190"/>
      <c r="Q79" s="287"/>
      <c r="R79" s="287"/>
      <c r="T79" s="334">
        <f t="shared" si="21"/>
        <v>1214244.18</v>
      </c>
      <c r="U79" s="334">
        <f t="shared" si="21"/>
        <v>1160987.15</v>
      </c>
      <c r="V79" s="334">
        <f t="shared" si="21"/>
        <v>1313669.1600000001</v>
      </c>
      <c r="W79" s="334">
        <f t="shared" si="21"/>
        <v>1231099.5100000002</v>
      </c>
      <c r="Z79" s="338">
        <f t="shared" si="3"/>
        <v>5019999.999999999</v>
      </c>
      <c r="AC79" s="25"/>
      <c r="AD79" s="369"/>
      <c r="AE79" s="254"/>
      <c r="AF79" s="343"/>
      <c r="AG79" s="354"/>
      <c r="AH79" s="354"/>
      <c r="AI79" s="354">
        <f t="shared" si="16"/>
        <v>0</v>
      </c>
    </row>
    <row r="80" spans="1:35" s="171" customFormat="1" ht="18.75">
      <c r="A80" s="158">
        <v>46</v>
      </c>
      <c r="B80" s="159" t="s">
        <v>535</v>
      </c>
      <c r="C80" s="142">
        <v>340</v>
      </c>
      <c r="D80" s="161"/>
      <c r="E80" s="161"/>
      <c r="F80" s="314">
        <f t="shared" si="19"/>
        <v>0</v>
      </c>
      <c r="G80" s="315">
        <f>G58+G70</f>
        <v>0</v>
      </c>
      <c r="H80" s="315">
        <f>H58+H70</f>
        <v>0</v>
      </c>
      <c r="I80" s="315">
        <f>I58+I70</f>
        <v>0</v>
      </c>
      <c r="J80" s="315">
        <f>J58+J70</f>
        <v>0</v>
      </c>
      <c r="K80" s="190"/>
      <c r="L80" s="286"/>
      <c r="M80" s="332" t="s">
        <v>827</v>
      </c>
      <c r="N80" s="190"/>
      <c r="O80" s="190"/>
      <c r="P80" s="190"/>
      <c r="Q80" s="287"/>
      <c r="R80" s="287"/>
      <c r="T80" s="335">
        <f>T58+T70</f>
        <v>0</v>
      </c>
      <c r="U80" s="335">
        <f>U58+U70</f>
        <v>0</v>
      </c>
      <c r="V80" s="335">
        <f>V58+V70</f>
        <v>0</v>
      </c>
      <c r="W80" s="335">
        <f>W58+W70</f>
        <v>0</v>
      </c>
      <c r="Z80" s="338">
        <f t="shared" si="3"/>
        <v>0</v>
      </c>
      <c r="AC80" s="25"/>
      <c r="AD80" s="25"/>
      <c r="AE80" s="254"/>
      <c r="AF80" s="343"/>
      <c r="AG80" s="354"/>
      <c r="AH80" s="354"/>
      <c r="AI80" s="354">
        <f t="shared" si="16"/>
        <v>0</v>
      </c>
    </row>
    <row r="81" spans="1:35" s="171" customFormat="1" ht="22.5" customHeight="1">
      <c r="A81" s="158">
        <v>47</v>
      </c>
      <c r="B81" s="159" t="s">
        <v>555</v>
      </c>
      <c r="C81" s="142">
        <v>350</v>
      </c>
      <c r="D81" s="161"/>
      <c r="E81" s="161"/>
      <c r="F81" s="314">
        <f t="shared" si="19"/>
        <v>-352.70000000000005</v>
      </c>
      <c r="G81" s="315">
        <f>G59+G61+G62+G63+G66+G67+G68+G69+G71+G75</f>
        <v>-125.6</v>
      </c>
      <c r="H81" s="315">
        <f>H59+H61+H62+H63+H66+H67+H68+H69+H71+H75</f>
        <v>-61.9</v>
      </c>
      <c r="I81" s="315">
        <f>I59+I61+I62+I63+I66+I67+I68+I69+I71+I75</f>
        <v>-82.30000000000001</v>
      </c>
      <c r="J81" s="315">
        <f>J59+J61+J62+J63+J66+J67+J68+J69+J71+J75</f>
        <v>-82.9</v>
      </c>
      <c r="K81" s="190"/>
      <c r="L81" s="286"/>
      <c r="M81" s="332" t="s">
        <v>828</v>
      </c>
      <c r="N81" s="190"/>
      <c r="O81" s="190"/>
      <c r="P81" s="190"/>
      <c r="Q81" s="287"/>
      <c r="R81" s="287"/>
      <c r="T81" s="334">
        <f>T59+T61+T62+T63+T66+T67+T68+T69+T71+T75</f>
        <v>125600</v>
      </c>
      <c r="U81" s="334">
        <f>U59+U61+U62+U63+U66+U67+U68+U69+U71+U75</f>
        <v>61900</v>
      </c>
      <c r="V81" s="334">
        <f>V59+V61+V62+V63+V66+V67+V68+V69+V71+V75</f>
        <v>82300</v>
      </c>
      <c r="W81" s="334">
        <f>W59+W61+W62+W63+W66+W67+W68+W69+W71+W75</f>
        <v>82900</v>
      </c>
      <c r="Z81" s="338">
        <f t="shared" si="3"/>
        <v>352700.00000000006</v>
      </c>
      <c r="AC81" s="397" t="s">
        <v>212</v>
      </c>
      <c r="AD81" s="398"/>
      <c r="AE81" s="74">
        <f>SUM(AE69:AE80)</f>
        <v>714000</v>
      </c>
      <c r="AF81" s="344">
        <f>SUM(AF69:AF80)</f>
        <v>605440</v>
      </c>
      <c r="AG81" s="360">
        <f>SUM(AG69:AG80)</f>
        <v>605440</v>
      </c>
      <c r="AH81" s="360">
        <f>SUM(AH69:AH80)</f>
        <v>465908.22000000003</v>
      </c>
      <c r="AI81" s="354">
        <f t="shared" si="16"/>
        <v>139531.77999999997</v>
      </c>
    </row>
    <row r="82" spans="1:35" s="171" customFormat="1" ht="18.75">
      <c r="A82" s="158">
        <v>48</v>
      </c>
      <c r="B82" s="159" t="s">
        <v>556</v>
      </c>
      <c r="C82" s="142">
        <v>360</v>
      </c>
      <c r="D82" s="161"/>
      <c r="E82" s="161"/>
      <c r="F82" s="316">
        <f t="shared" si="19"/>
        <v>-31849.563120000003</v>
      </c>
      <c r="G82" s="315">
        <f>SUM(G77:G81)</f>
        <v>-7821.837180000001</v>
      </c>
      <c r="H82" s="315">
        <f>SUM(H77:H81)</f>
        <v>-7693.354149999999</v>
      </c>
      <c r="I82" s="315">
        <f>SUM(I77:I81)</f>
        <v>-8067.557160000001</v>
      </c>
      <c r="J82" s="315">
        <f>SUM(J77:J81)</f>
        <v>-8266.81463</v>
      </c>
      <c r="K82" s="190"/>
      <c r="L82" s="329">
        <f>SUM(L43:L77)</f>
        <v>31856363.31</v>
      </c>
      <c r="M82" s="329">
        <f>SUM(M43:M77)</f>
        <v>7821837.18</v>
      </c>
      <c r="N82" s="329">
        <f>SUM(N43:N77)</f>
        <v>7693054.15</v>
      </c>
      <c r="O82" s="329">
        <f>SUM(O43:O77)</f>
        <v>8070757.350000001</v>
      </c>
      <c r="P82" s="329">
        <f>SUM(P43:P77)</f>
        <v>8267914.63</v>
      </c>
      <c r="Q82" s="287"/>
      <c r="R82" s="287"/>
      <c r="T82" s="331">
        <f>SUM(T77:T81)</f>
        <v>7821837.18</v>
      </c>
      <c r="U82" s="331">
        <f>SUM(U77:U81)</f>
        <v>7694454.15</v>
      </c>
      <c r="V82" s="331">
        <f>SUM(V77:V81)</f>
        <v>8072157.35</v>
      </c>
      <c r="W82" s="331">
        <f>SUM(W77:W81)</f>
        <v>8267914.630000001</v>
      </c>
      <c r="Z82" s="338">
        <f t="shared" si="3"/>
        <v>31849563.12</v>
      </c>
      <c r="AC82"/>
      <c r="AD82"/>
      <c r="AE82" s="53"/>
      <c r="AF82" s="345"/>
      <c r="AG82" s="361"/>
      <c r="AH82" s="361"/>
      <c r="AI82" s="354">
        <f t="shared" si="16"/>
        <v>0</v>
      </c>
    </row>
    <row r="83" spans="1:35" s="171" customFormat="1" ht="18.75">
      <c r="A83" s="158">
        <v>49</v>
      </c>
      <c r="B83" s="177" t="s">
        <v>557</v>
      </c>
      <c r="C83" s="178"/>
      <c r="D83" s="178"/>
      <c r="E83" s="178"/>
      <c r="F83" s="320"/>
      <c r="G83" s="320"/>
      <c r="H83" s="320"/>
      <c r="I83" s="320"/>
      <c r="J83" s="321"/>
      <c r="K83" s="190"/>
      <c r="L83" s="286"/>
      <c r="M83" s="190"/>
      <c r="N83" s="190"/>
      <c r="O83" s="190"/>
      <c r="P83" s="190"/>
      <c r="Q83" s="287"/>
      <c r="R83" s="287"/>
      <c r="AC83" s="373" t="s">
        <v>664</v>
      </c>
      <c r="AD83" s="373"/>
      <c r="AE83" s="53"/>
      <c r="AF83" s="345"/>
      <c r="AG83" s="361"/>
      <c r="AH83" s="361"/>
      <c r="AI83" s="354">
        <f t="shared" si="16"/>
        <v>0</v>
      </c>
    </row>
    <row r="84" spans="1:35" s="171" customFormat="1" ht="18.75">
      <c r="A84" s="158">
        <v>50</v>
      </c>
      <c r="B84" s="159" t="s">
        <v>558</v>
      </c>
      <c r="C84" s="142">
        <v>370</v>
      </c>
      <c r="D84" s="169"/>
      <c r="E84" s="169"/>
      <c r="F84" s="316">
        <f>SUM(G84:J84)</f>
        <v>-1751.3916100000001</v>
      </c>
      <c r="G84" s="317">
        <f>SUM(G85)</f>
        <v>-1486.3916100000001</v>
      </c>
      <c r="H84" s="317">
        <f>SUM(H85)</f>
        <v>0</v>
      </c>
      <c r="I84" s="317">
        <f>SUM(I85)</f>
        <v>0</v>
      </c>
      <c r="J84" s="317">
        <f>SUM(J85)</f>
        <v>-265</v>
      </c>
      <c r="K84" s="190"/>
      <c r="L84" s="286"/>
      <c r="M84" s="190"/>
      <c r="N84" s="190"/>
      <c r="O84" s="190"/>
      <c r="P84" s="190"/>
      <c r="Q84" s="287"/>
      <c r="R84" s="287"/>
      <c r="AC84" s="374"/>
      <c r="AD84" s="374"/>
      <c r="AE84" s="53"/>
      <c r="AF84" s="345"/>
      <c r="AG84" s="361"/>
      <c r="AH84" s="361"/>
      <c r="AI84" s="354">
        <f t="shared" si="16"/>
        <v>0</v>
      </c>
    </row>
    <row r="85" spans="1:35" s="171" customFormat="1" ht="56.25">
      <c r="A85" s="158">
        <v>51</v>
      </c>
      <c r="B85" s="159" t="s">
        <v>812</v>
      </c>
      <c r="C85" s="176">
        <v>371</v>
      </c>
      <c r="D85" s="161"/>
      <c r="E85" s="161"/>
      <c r="F85" s="314">
        <f>SUM(G85:J85)</f>
        <v>-1751.3916100000001</v>
      </c>
      <c r="G85" s="315">
        <f>-1486391.61/1000</f>
        <v>-1486.3916100000001</v>
      </c>
      <c r="H85" s="315">
        <v>0</v>
      </c>
      <c r="I85" s="315">
        <v>0</v>
      </c>
      <c r="J85" s="315">
        <f>-265000/1000</f>
        <v>-265</v>
      </c>
      <c r="K85" s="289"/>
      <c r="L85" s="288">
        <f>M85+N85+O85+P85</f>
        <v>1486391.61</v>
      </c>
      <c r="M85" s="287">
        <v>1486391.61</v>
      </c>
      <c r="N85" s="287"/>
      <c r="O85" s="287"/>
      <c r="P85" s="287">
        <v>0</v>
      </c>
      <c r="Q85" s="287"/>
      <c r="R85" s="287"/>
      <c r="S85" s="302">
        <v>264101.78</v>
      </c>
      <c r="AC85" s="25" t="s">
        <v>342</v>
      </c>
      <c r="AD85" s="25" t="s">
        <v>887</v>
      </c>
      <c r="AE85" s="280"/>
      <c r="AF85" s="341">
        <v>148593.4</v>
      </c>
      <c r="AG85" s="352">
        <f>AF85</f>
        <v>148593.4</v>
      </c>
      <c r="AH85" s="353">
        <v>148593.4</v>
      </c>
      <c r="AI85" s="354">
        <f t="shared" si="16"/>
        <v>0</v>
      </c>
    </row>
    <row r="86" spans="1:35" s="171" customFormat="1" ht="18.75">
      <c r="A86" s="158">
        <v>52</v>
      </c>
      <c r="B86" s="157" t="s">
        <v>560</v>
      </c>
      <c r="C86" s="180">
        <v>380</v>
      </c>
      <c r="D86" s="181">
        <f>SUM(D87:D92)</f>
        <v>0</v>
      </c>
      <c r="E86" s="181">
        <f>SUM(E87:E92)</f>
        <v>0</v>
      </c>
      <c r="F86" s="316">
        <f aca="true" t="shared" si="22" ref="F86:F92">SUM(G86:J86)</f>
        <v>-552.8000000000001</v>
      </c>
      <c r="G86" s="316">
        <f>SUM(G87:G92)</f>
        <v>-50</v>
      </c>
      <c r="H86" s="316">
        <f>SUM(H87:H92)</f>
        <v>-160</v>
      </c>
      <c r="I86" s="316">
        <f>SUM(I87:I92)</f>
        <v>-324.98400000000004</v>
      </c>
      <c r="J86" s="316">
        <f>SUM(J87:J92)</f>
        <v>-17.816</v>
      </c>
      <c r="K86" s="190"/>
      <c r="L86" s="295"/>
      <c r="M86" s="287"/>
      <c r="N86" s="287"/>
      <c r="O86" s="287"/>
      <c r="P86" s="287"/>
      <c r="Q86" s="287"/>
      <c r="R86" s="287"/>
      <c r="AC86" s="228" t="s">
        <v>343</v>
      </c>
      <c r="AD86" s="369" t="s">
        <v>769</v>
      </c>
      <c r="AE86" s="276">
        <v>570000</v>
      </c>
      <c r="AF86" s="343">
        <v>411088.88</v>
      </c>
      <c r="AG86" s="352">
        <f aca="true" t="shared" si="23" ref="AG86:AG108">AF86</f>
        <v>411088.88</v>
      </c>
      <c r="AH86" s="354">
        <v>391435</v>
      </c>
      <c r="AI86" s="354">
        <f t="shared" si="16"/>
        <v>19653.880000000005</v>
      </c>
    </row>
    <row r="87" spans="1:35" s="171" customFormat="1" ht="21" customHeight="1">
      <c r="A87" s="158">
        <v>53</v>
      </c>
      <c r="B87" s="159" t="s">
        <v>561</v>
      </c>
      <c r="C87" s="182">
        <v>381</v>
      </c>
      <c r="D87" s="161"/>
      <c r="E87" s="161"/>
      <c r="F87" s="315">
        <f t="shared" si="22"/>
        <v>0</v>
      </c>
      <c r="G87" s="315"/>
      <c r="H87" s="315"/>
      <c r="I87" s="315"/>
      <c r="J87" s="315"/>
      <c r="K87" s="190"/>
      <c r="L87" s="288">
        <f>M87+N87+O87+P87</f>
        <v>359984</v>
      </c>
      <c r="M87" s="366">
        <v>0</v>
      </c>
      <c r="N87" s="366">
        <v>160000</v>
      </c>
      <c r="O87" s="366">
        <f>200000-16</f>
        <v>199984</v>
      </c>
      <c r="P87" s="366"/>
      <c r="Q87" s="371">
        <v>359984</v>
      </c>
      <c r="R87" s="371"/>
      <c r="AC87" s="228" t="s">
        <v>155</v>
      </c>
      <c r="AD87" s="369" t="s">
        <v>358</v>
      </c>
      <c r="AE87" s="276">
        <v>199000</v>
      </c>
      <c r="AF87" s="343">
        <v>199000</v>
      </c>
      <c r="AG87" s="352">
        <f t="shared" si="23"/>
        <v>199000</v>
      </c>
      <c r="AH87" s="354">
        <v>163424</v>
      </c>
      <c r="AI87" s="354">
        <f t="shared" si="16"/>
        <v>35576</v>
      </c>
    </row>
    <row r="88" spans="1:35" s="171" customFormat="1" ht="18.75">
      <c r="A88" s="158">
        <v>54</v>
      </c>
      <c r="B88" s="159" t="s">
        <v>562</v>
      </c>
      <c r="C88" s="183">
        <v>382</v>
      </c>
      <c r="D88" s="161"/>
      <c r="E88" s="161"/>
      <c r="F88" s="315">
        <f t="shared" si="22"/>
        <v>-192.816</v>
      </c>
      <c r="G88" s="315">
        <v>-50</v>
      </c>
      <c r="H88" s="315">
        <v>0</v>
      </c>
      <c r="I88" s="315">
        <v>-125</v>
      </c>
      <c r="J88" s="315">
        <v>-17.816</v>
      </c>
      <c r="K88" s="190"/>
      <c r="L88" s="288">
        <f>M88+N88+O88+P88</f>
        <v>192816</v>
      </c>
      <c r="M88" s="366">
        <v>50000</v>
      </c>
      <c r="N88" s="366">
        <v>0</v>
      </c>
      <c r="O88" s="366">
        <v>125000</v>
      </c>
      <c r="P88" s="366">
        <f>Q88-M88-N88-O88</f>
        <v>17816</v>
      </c>
      <c r="Q88" s="371">
        <v>192816</v>
      </c>
      <c r="R88" s="371"/>
      <c r="AC88" s="21" t="s">
        <v>229</v>
      </c>
      <c r="AD88" s="369" t="s">
        <v>230</v>
      </c>
      <c r="AE88" s="276">
        <v>30000</v>
      </c>
      <c r="AF88" s="343">
        <v>30000</v>
      </c>
      <c r="AG88" s="352">
        <f t="shared" si="23"/>
        <v>30000</v>
      </c>
      <c r="AH88" s="354">
        <v>4420</v>
      </c>
      <c r="AI88" s="354">
        <f t="shared" si="16"/>
        <v>25580</v>
      </c>
    </row>
    <row r="89" spans="1:35" s="171" customFormat="1" ht="37.5">
      <c r="A89" s="158">
        <v>55</v>
      </c>
      <c r="B89" s="159" t="s">
        <v>563</v>
      </c>
      <c r="C89" s="182">
        <v>383</v>
      </c>
      <c r="D89" s="161"/>
      <c r="E89" s="161"/>
      <c r="F89" s="315">
        <f t="shared" si="22"/>
        <v>0</v>
      </c>
      <c r="G89" s="315"/>
      <c r="H89" s="315"/>
      <c r="I89" s="315"/>
      <c r="J89" s="315"/>
      <c r="K89" s="190"/>
      <c r="L89" s="288">
        <f>M89+N89+O89+P89</f>
        <v>0</v>
      </c>
      <c r="M89" s="287">
        <v>0</v>
      </c>
      <c r="N89" s="287">
        <v>0</v>
      </c>
      <c r="O89" s="287">
        <v>0</v>
      </c>
      <c r="P89" s="287">
        <v>0</v>
      </c>
      <c r="Q89" s="287"/>
      <c r="R89" s="287"/>
      <c r="S89" s="85"/>
      <c r="AC89" s="21" t="s">
        <v>153</v>
      </c>
      <c r="AD89" s="369" t="s">
        <v>154</v>
      </c>
      <c r="AE89" s="276">
        <v>49000</v>
      </c>
      <c r="AF89" s="343">
        <v>48400</v>
      </c>
      <c r="AG89" s="352">
        <f t="shared" si="23"/>
        <v>48400</v>
      </c>
      <c r="AH89" s="354">
        <v>18190</v>
      </c>
      <c r="AI89" s="354">
        <f t="shared" si="16"/>
        <v>30210</v>
      </c>
    </row>
    <row r="90" spans="1:35" s="171" customFormat="1" ht="22.5" customHeight="1">
      <c r="A90" s="158">
        <v>56</v>
      </c>
      <c r="B90" s="159" t="s">
        <v>564</v>
      </c>
      <c r="C90" s="183">
        <v>384</v>
      </c>
      <c r="D90" s="161"/>
      <c r="E90" s="161"/>
      <c r="F90" s="315">
        <f t="shared" si="22"/>
        <v>0</v>
      </c>
      <c r="G90" s="315"/>
      <c r="H90" s="315"/>
      <c r="I90" s="315"/>
      <c r="J90" s="315"/>
      <c r="K90" s="190" t="s">
        <v>815</v>
      </c>
      <c r="L90" s="298">
        <f>SUM(L43:L89)-L82</f>
        <v>33895554.92</v>
      </c>
      <c r="M90" s="298">
        <f>SUM(M43:M89)-M82</f>
        <v>9358228.79</v>
      </c>
      <c r="N90" s="298">
        <f>SUM(N43:N89)-N82</f>
        <v>7853054.15</v>
      </c>
      <c r="O90" s="298">
        <f>SUM(O43:O89)-O82</f>
        <v>8395741.350000001</v>
      </c>
      <c r="P90" s="298">
        <f>SUM(P43:P89)-P82</f>
        <v>8285730.63</v>
      </c>
      <c r="Q90" s="287"/>
      <c r="R90" s="287"/>
      <c r="S90" s="85"/>
      <c r="AC90" s="21" t="s">
        <v>594</v>
      </c>
      <c r="AD90" s="369" t="s">
        <v>593</v>
      </c>
      <c r="AE90" s="276">
        <v>25000</v>
      </c>
      <c r="AF90" s="343">
        <v>30000</v>
      </c>
      <c r="AG90" s="352">
        <f t="shared" si="23"/>
        <v>30000</v>
      </c>
      <c r="AH90" s="354">
        <v>26865.9</v>
      </c>
      <c r="AI90" s="354">
        <f t="shared" si="16"/>
        <v>3134.0999999999985</v>
      </c>
    </row>
    <row r="91" spans="1:35" s="171" customFormat="1" ht="37.5">
      <c r="A91" s="158">
        <v>57</v>
      </c>
      <c r="B91" s="159" t="s">
        <v>565</v>
      </c>
      <c r="C91" s="183">
        <v>385</v>
      </c>
      <c r="D91" s="161"/>
      <c r="E91" s="161"/>
      <c r="F91" s="315">
        <f t="shared" si="22"/>
        <v>0</v>
      </c>
      <c r="G91" s="315"/>
      <c r="H91" s="315"/>
      <c r="I91" s="315"/>
      <c r="J91" s="315"/>
      <c r="K91" s="190" t="s">
        <v>816</v>
      </c>
      <c r="L91" s="298">
        <f>M91+N91+O91+P91</f>
        <v>33785407.61</v>
      </c>
      <c r="M91" s="299">
        <f>N104+P104+M121</f>
        <v>9439482.61</v>
      </c>
      <c r="N91" s="299">
        <f>N107+P107</f>
        <v>7991278.5</v>
      </c>
      <c r="O91" s="299">
        <f>N110+P110</f>
        <v>8220333.74</v>
      </c>
      <c r="P91" s="299">
        <f>N113+P113</f>
        <v>8134312.76</v>
      </c>
      <c r="Q91" s="287"/>
      <c r="R91" s="287"/>
      <c r="S91" s="85"/>
      <c r="AC91" s="21" t="s">
        <v>339</v>
      </c>
      <c r="AD91" s="369" t="s">
        <v>338</v>
      </c>
      <c r="AE91" s="276">
        <v>6000</v>
      </c>
      <c r="AF91" s="343">
        <v>6000</v>
      </c>
      <c r="AG91" s="352">
        <f t="shared" si="23"/>
        <v>6000</v>
      </c>
      <c r="AH91" s="354">
        <v>480</v>
      </c>
      <c r="AI91" s="354">
        <f t="shared" si="16"/>
        <v>5520</v>
      </c>
    </row>
    <row r="92" spans="1:35" s="171" customFormat="1" ht="18.75">
      <c r="A92" s="158">
        <v>58</v>
      </c>
      <c r="B92" s="159" t="s">
        <v>566</v>
      </c>
      <c r="C92" s="182">
        <v>386</v>
      </c>
      <c r="D92" s="161"/>
      <c r="E92" s="161"/>
      <c r="F92" s="315">
        <f t="shared" si="22"/>
        <v>-359.98400000000004</v>
      </c>
      <c r="G92" s="315">
        <v>0</v>
      </c>
      <c r="H92" s="315">
        <v>-160</v>
      </c>
      <c r="I92" s="315">
        <v>-199.984</v>
      </c>
      <c r="J92" s="315">
        <v>0</v>
      </c>
      <c r="K92" s="190" t="s">
        <v>817</v>
      </c>
      <c r="L92" s="298">
        <f>L91-L90</f>
        <v>-110147.31000000238</v>
      </c>
      <c r="M92" s="301">
        <f>M91-M90</f>
        <v>81253.8200000003</v>
      </c>
      <c r="N92" s="300">
        <f>N91-N90</f>
        <v>138224.34999999963</v>
      </c>
      <c r="O92" s="301">
        <f>O91-O90</f>
        <v>-175407.61000000127</v>
      </c>
      <c r="P92" s="300">
        <f>P91-P90</f>
        <v>-151417.8700000001</v>
      </c>
      <c r="Q92" s="287"/>
      <c r="R92" s="287"/>
      <c r="S92" s="85"/>
      <c r="AC92" s="25" t="s">
        <v>856</v>
      </c>
      <c r="AD92" s="25" t="s">
        <v>855</v>
      </c>
      <c r="AE92" s="280"/>
      <c r="AF92" s="341">
        <v>10500</v>
      </c>
      <c r="AG92" s="352">
        <f t="shared" si="23"/>
        <v>10500</v>
      </c>
      <c r="AH92" s="353">
        <v>10500</v>
      </c>
      <c r="AI92" s="354">
        <f t="shared" si="16"/>
        <v>0</v>
      </c>
    </row>
    <row r="93" spans="1:35" s="171" customFormat="1" ht="18.75">
      <c r="A93" s="158">
        <v>59</v>
      </c>
      <c r="B93" s="177" t="s">
        <v>567</v>
      </c>
      <c r="C93" s="178"/>
      <c r="D93" s="178"/>
      <c r="E93" s="178"/>
      <c r="F93" s="178"/>
      <c r="G93" s="178"/>
      <c r="H93" s="178"/>
      <c r="I93" s="178"/>
      <c r="J93" s="179"/>
      <c r="K93" s="190"/>
      <c r="L93" s="296"/>
      <c r="M93" s="296"/>
      <c r="N93" s="296"/>
      <c r="O93" s="296"/>
      <c r="P93" s="296"/>
      <c r="Q93" s="297"/>
      <c r="R93" s="297"/>
      <c r="S93" s="85"/>
      <c r="AC93" s="21" t="s">
        <v>231</v>
      </c>
      <c r="AD93" s="369" t="s">
        <v>232</v>
      </c>
      <c r="AE93" s="276">
        <v>100000</v>
      </c>
      <c r="AF93" s="343">
        <v>100000</v>
      </c>
      <c r="AG93" s="352">
        <f t="shared" si="23"/>
        <v>100000</v>
      </c>
      <c r="AH93" s="354">
        <v>94510.65</v>
      </c>
      <c r="AI93" s="354">
        <f t="shared" si="16"/>
        <v>5489.350000000006</v>
      </c>
    </row>
    <row r="94" spans="1:35" s="171" customFormat="1" ht="19.5" customHeight="1">
      <c r="A94" s="158">
        <v>60</v>
      </c>
      <c r="B94" s="159" t="s">
        <v>568</v>
      </c>
      <c r="C94" s="184">
        <v>390</v>
      </c>
      <c r="D94" s="169">
        <f>SUM(D95:D98)</f>
        <v>0</v>
      </c>
      <c r="E94" s="169">
        <f>SUM(E95:E98)</f>
        <v>0</v>
      </c>
      <c r="F94" s="317">
        <f aca="true" t="shared" si="24" ref="F94:F103">SUM(G94:J94)</f>
        <v>553.72214</v>
      </c>
      <c r="G94" s="317">
        <f>SUM(G95:G98)</f>
        <v>8.84653</v>
      </c>
      <c r="H94" s="317">
        <f>SUM(H95:H98)</f>
        <v>69.1874</v>
      </c>
      <c r="I94" s="317">
        <f>SUM(I95:I98)</f>
        <v>245.2</v>
      </c>
      <c r="J94" s="317">
        <f>SUM(J95:J98)</f>
        <v>230.48821</v>
      </c>
      <c r="K94" s="190"/>
      <c r="L94" s="40" t="s">
        <v>786</v>
      </c>
      <c r="M94" s="40" t="s">
        <v>787</v>
      </c>
      <c r="N94" s="40" t="s">
        <v>788</v>
      </c>
      <c r="O94" s="85"/>
      <c r="P94" s="85"/>
      <c r="Q94" s="85"/>
      <c r="R94" s="85"/>
      <c r="S94" s="85"/>
      <c r="AC94" s="21" t="s">
        <v>345</v>
      </c>
      <c r="AD94" s="369" t="s">
        <v>344</v>
      </c>
      <c r="AE94" s="276">
        <v>8000</v>
      </c>
      <c r="AF94" s="343">
        <v>8000</v>
      </c>
      <c r="AG94" s="352">
        <f t="shared" si="23"/>
        <v>8000</v>
      </c>
      <c r="AH94" s="354"/>
      <c r="AI94" s="354">
        <f t="shared" si="16"/>
        <v>8000</v>
      </c>
    </row>
    <row r="95" spans="1:35" s="171" customFormat="1" ht="18.75">
      <c r="A95" s="158">
        <v>61</v>
      </c>
      <c r="B95" s="165" t="s">
        <v>902</v>
      </c>
      <c r="C95" s="185">
        <v>391</v>
      </c>
      <c r="D95" s="161"/>
      <c r="E95" s="161"/>
      <c r="F95" s="315">
        <f t="shared" si="24"/>
        <v>3.3656</v>
      </c>
      <c r="G95" s="315">
        <v>3.3656</v>
      </c>
      <c r="H95" s="315"/>
      <c r="I95" s="315"/>
      <c r="J95" s="315"/>
      <c r="K95" s="190"/>
      <c r="L95" s="290">
        <v>1486391.61</v>
      </c>
      <c r="M95" s="290">
        <f>L95+E95-E101</f>
        <v>1486391.61</v>
      </c>
      <c r="N95" s="290">
        <f>M95+F95-F101</f>
        <v>1486394.9756</v>
      </c>
      <c r="O95" s="85"/>
      <c r="P95" s="85"/>
      <c r="Q95" s="85"/>
      <c r="R95" s="85"/>
      <c r="S95" s="85"/>
      <c r="AC95" s="21" t="s">
        <v>341</v>
      </c>
      <c r="AD95" s="369" t="s">
        <v>340</v>
      </c>
      <c r="AE95" s="276">
        <v>4200</v>
      </c>
      <c r="AF95" s="343">
        <v>4200</v>
      </c>
      <c r="AG95" s="352">
        <f t="shared" si="23"/>
        <v>4200</v>
      </c>
      <c r="AH95" s="354"/>
      <c r="AI95" s="354">
        <f t="shared" si="16"/>
        <v>4200</v>
      </c>
    </row>
    <row r="96" spans="1:35" s="171" customFormat="1" ht="18.75">
      <c r="A96" s="158">
        <v>62</v>
      </c>
      <c r="B96" s="165" t="s">
        <v>809</v>
      </c>
      <c r="C96" s="185">
        <v>392</v>
      </c>
      <c r="D96" s="161"/>
      <c r="E96" s="161"/>
      <c r="F96" s="315">
        <f t="shared" si="24"/>
        <v>503.728</v>
      </c>
      <c r="G96" s="315">
        <v>0</v>
      </c>
      <c r="H96" s="315">
        <v>40</v>
      </c>
      <c r="I96" s="315">
        <v>240</v>
      </c>
      <c r="J96" s="315">
        <v>223.728</v>
      </c>
      <c r="K96" s="190"/>
      <c r="L96" s="85" t="s">
        <v>417</v>
      </c>
      <c r="M96" s="85"/>
      <c r="N96" s="85"/>
      <c r="O96" s="85"/>
      <c r="P96" s="85"/>
      <c r="Q96" s="85"/>
      <c r="R96" s="85"/>
      <c r="S96" s="85"/>
      <c r="AC96" s="21" t="s">
        <v>858</v>
      </c>
      <c r="AD96" s="369" t="s">
        <v>857</v>
      </c>
      <c r="AE96" s="276"/>
      <c r="AF96" s="343">
        <v>28975.6</v>
      </c>
      <c r="AG96" s="352">
        <f t="shared" si="23"/>
        <v>28975.6</v>
      </c>
      <c r="AH96" s="354">
        <v>28975.6</v>
      </c>
      <c r="AI96" s="354">
        <f t="shared" si="16"/>
        <v>0</v>
      </c>
    </row>
    <row r="97" spans="1:35" s="171" customFormat="1" ht="18.75">
      <c r="A97" s="158">
        <v>63</v>
      </c>
      <c r="B97" s="165" t="s">
        <v>571</v>
      </c>
      <c r="C97" s="185">
        <v>393</v>
      </c>
      <c r="D97" s="161"/>
      <c r="E97" s="161"/>
      <c r="F97" s="315">
        <f t="shared" si="24"/>
        <v>10.22854</v>
      </c>
      <c r="G97" s="315">
        <v>0.18093</v>
      </c>
      <c r="H97" s="315">
        <v>8.5874</v>
      </c>
      <c r="I97" s="315">
        <v>0</v>
      </c>
      <c r="J97" s="315">
        <f>1460.21/1000</f>
        <v>1.46021</v>
      </c>
      <c r="K97" s="190"/>
      <c r="L97" s="85">
        <v>1000.804</v>
      </c>
      <c r="M97" s="85" t="s">
        <v>789</v>
      </c>
      <c r="N97" s="85"/>
      <c r="O97" s="85"/>
      <c r="P97" s="85"/>
      <c r="Q97" s="85"/>
      <c r="R97" s="85"/>
      <c r="S97" s="85"/>
      <c r="AC97" s="21" t="s">
        <v>890</v>
      </c>
      <c r="AD97" s="369" t="s">
        <v>891</v>
      </c>
      <c r="AE97" s="276"/>
      <c r="AF97" s="343">
        <v>165000</v>
      </c>
      <c r="AG97" s="352">
        <f t="shared" si="23"/>
        <v>165000</v>
      </c>
      <c r="AH97" s="354">
        <v>165000</v>
      </c>
      <c r="AI97" s="354">
        <f t="shared" si="16"/>
        <v>0</v>
      </c>
    </row>
    <row r="98" spans="1:35" s="171" customFormat="1" ht="18.75">
      <c r="A98" s="158">
        <v>64</v>
      </c>
      <c r="B98" s="159" t="s">
        <v>785</v>
      </c>
      <c r="C98" s="184">
        <v>400</v>
      </c>
      <c r="D98" s="161"/>
      <c r="E98" s="161"/>
      <c r="F98" s="315">
        <f t="shared" si="24"/>
        <v>36.4</v>
      </c>
      <c r="G98" s="315">
        <v>5.3</v>
      </c>
      <c r="H98" s="315">
        <v>20.6</v>
      </c>
      <c r="I98" s="315">
        <v>5.2</v>
      </c>
      <c r="J98" s="315">
        <v>5.3</v>
      </c>
      <c r="K98" s="190"/>
      <c r="L98" s="85">
        <v>8136.99</v>
      </c>
      <c r="M98" s="85"/>
      <c r="N98" s="85"/>
      <c r="O98" s="85"/>
      <c r="P98" s="85"/>
      <c r="Q98" s="85"/>
      <c r="R98" s="85"/>
      <c r="S98" s="85"/>
      <c r="AC98" s="21" t="s">
        <v>859</v>
      </c>
      <c r="AD98" s="369" t="s">
        <v>892</v>
      </c>
      <c r="AE98" s="276"/>
      <c r="AF98" s="343">
        <v>14645</v>
      </c>
      <c r="AG98" s="352">
        <f t="shared" si="23"/>
        <v>14645</v>
      </c>
      <c r="AH98" s="354">
        <v>12676</v>
      </c>
      <c r="AI98" s="354">
        <f t="shared" si="16"/>
        <v>1969</v>
      </c>
    </row>
    <row r="99" spans="1:35" s="171" customFormat="1" ht="37.5">
      <c r="A99" s="158">
        <v>65</v>
      </c>
      <c r="B99" s="159" t="s">
        <v>573</v>
      </c>
      <c r="C99" s="184">
        <v>410</v>
      </c>
      <c r="D99" s="169">
        <f>SUM(D100:D103)</f>
        <v>0</v>
      </c>
      <c r="E99" s="169">
        <f>SUM(E100:E103)</f>
        <v>0</v>
      </c>
      <c r="F99" s="317">
        <f t="shared" si="24"/>
        <v>0</v>
      </c>
      <c r="G99" s="317">
        <f>SUM(G100:G103)</f>
        <v>0</v>
      </c>
      <c r="H99" s="317">
        <f>SUM(H100:H103)</f>
        <v>0</v>
      </c>
      <c r="I99" s="317">
        <f>SUM(I100:I103)</f>
        <v>0</v>
      </c>
      <c r="J99" s="317">
        <f>SUM(J100:J103)</f>
        <v>0</v>
      </c>
      <c r="K99" s="190"/>
      <c r="L99" s="85" t="s">
        <v>790</v>
      </c>
      <c r="M99" s="85"/>
      <c r="N99" s="85"/>
      <c r="O99" s="85"/>
      <c r="P99" s="85"/>
      <c r="Q99" s="85"/>
      <c r="R99" s="85"/>
      <c r="S99" s="85"/>
      <c r="AC99" s="21" t="s">
        <v>690</v>
      </c>
      <c r="AD99" s="369" t="s">
        <v>897</v>
      </c>
      <c r="AE99" s="276"/>
      <c r="AF99" s="346">
        <v>39500</v>
      </c>
      <c r="AG99" s="352">
        <f t="shared" si="23"/>
        <v>39500</v>
      </c>
      <c r="AH99" s="354">
        <f>14370+15000</f>
        <v>29370</v>
      </c>
      <c r="AI99" s="354">
        <f t="shared" si="16"/>
        <v>10130</v>
      </c>
    </row>
    <row r="100" spans="1:35" s="171" customFormat="1" ht="18.75">
      <c r="A100" s="158">
        <v>66</v>
      </c>
      <c r="B100" s="165" t="s">
        <v>569</v>
      </c>
      <c r="C100" s="185">
        <v>411</v>
      </c>
      <c r="D100" s="161"/>
      <c r="E100" s="161"/>
      <c r="F100" s="315">
        <f t="shared" si="24"/>
        <v>0</v>
      </c>
      <c r="G100" s="315"/>
      <c r="H100" s="315"/>
      <c r="I100" s="315"/>
      <c r="J100" s="315"/>
      <c r="K100" s="190"/>
      <c r="L100" s="85" t="s">
        <v>791</v>
      </c>
      <c r="M100" s="85"/>
      <c r="N100" s="85"/>
      <c r="O100" s="85"/>
      <c r="P100" s="85"/>
      <c r="Q100" s="85"/>
      <c r="R100" s="85"/>
      <c r="S100" s="85"/>
      <c r="AC100" s="21" t="s">
        <v>861</v>
      </c>
      <c r="AD100" s="369" t="s">
        <v>860</v>
      </c>
      <c r="AE100" s="276"/>
      <c r="AF100" s="343">
        <v>27000</v>
      </c>
      <c r="AG100" s="352">
        <f t="shared" si="23"/>
        <v>27000</v>
      </c>
      <c r="AH100" s="354">
        <v>21000</v>
      </c>
      <c r="AI100" s="354">
        <f t="shared" si="16"/>
        <v>6000</v>
      </c>
    </row>
    <row r="101" spans="1:35" s="171" customFormat="1" ht="31.5">
      <c r="A101" s="158">
        <v>67</v>
      </c>
      <c r="B101" s="165" t="s">
        <v>570</v>
      </c>
      <c r="C101" s="185">
        <v>412</v>
      </c>
      <c r="D101" s="161"/>
      <c r="E101" s="161"/>
      <c r="F101" s="315">
        <f t="shared" si="24"/>
        <v>0</v>
      </c>
      <c r="G101" s="315"/>
      <c r="H101" s="315"/>
      <c r="I101" s="315"/>
      <c r="J101" s="315"/>
      <c r="K101" s="190"/>
      <c r="L101" s="85" t="s">
        <v>792</v>
      </c>
      <c r="M101" s="85"/>
      <c r="N101" s="85"/>
      <c r="O101" s="85"/>
      <c r="P101" s="85"/>
      <c r="Q101" s="85"/>
      <c r="R101" s="85"/>
      <c r="S101" s="85"/>
      <c r="AC101" s="21" t="s">
        <v>233</v>
      </c>
      <c r="AD101" s="369" t="s">
        <v>234</v>
      </c>
      <c r="AE101" s="276">
        <v>22800</v>
      </c>
      <c r="AF101" s="343">
        <v>27293.55</v>
      </c>
      <c r="AG101" s="352">
        <f t="shared" si="23"/>
        <v>27293.55</v>
      </c>
      <c r="AH101" s="354">
        <v>27293.55</v>
      </c>
      <c r="AI101" s="354">
        <f t="shared" si="16"/>
        <v>0</v>
      </c>
    </row>
    <row r="102" spans="1:35" s="171" customFormat="1" ht="18.75">
      <c r="A102" s="158">
        <v>68</v>
      </c>
      <c r="B102" s="165" t="s">
        <v>571</v>
      </c>
      <c r="C102" s="185">
        <v>413</v>
      </c>
      <c r="D102" s="161"/>
      <c r="E102" s="161"/>
      <c r="F102" s="315">
        <f t="shared" si="24"/>
        <v>0</v>
      </c>
      <c r="G102" s="315"/>
      <c r="H102" s="315"/>
      <c r="I102" s="315"/>
      <c r="J102" s="315"/>
      <c r="K102" s="190"/>
      <c r="L102" s="291"/>
      <c r="M102" s="85"/>
      <c r="N102" s="85"/>
      <c r="O102" s="286" t="s">
        <v>808</v>
      </c>
      <c r="P102" s="85"/>
      <c r="Q102" s="85"/>
      <c r="R102" s="85"/>
      <c r="S102" s="85"/>
      <c r="AC102" s="21" t="s">
        <v>893</v>
      </c>
      <c r="AD102" s="369" t="s">
        <v>894</v>
      </c>
      <c r="AE102" s="276"/>
      <c r="AF102" s="343">
        <v>5000</v>
      </c>
      <c r="AG102" s="352">
        <f t="shared" si="23"/>
        <v>5000</v>
      </c>
      <c r="AH102" s="354">
        <v>5000</v>
      </c>
      <c r="AI102" s="354">
        <f t="shared" si="16"/>
        <v>0</v>
      </c>
    </row>
    <row r="103" spans="1:35" s="171" customFormat="1" ht="18.75">
      <c r="A103" s="158">
        <v>69</v>
      </c>
      <c r="B103" s="159" t="s">
        <v>536</v>
      </c>
      <c r="C103" s="184">
        <v>420</v>
      </c>
      <c r="D103" s="161"/>
      <c r="E103" s="161"/>
      <c r="F103" s="315">
        <f t="shared" si="24"/>
        <v>0</v>
      </c>
      <c r="G103" s="315"/>
      <c r="H103" s="315"/>
      <c r="I103" s="315"/>
      <c r="J103" s="315"/>
      <c r="K103" s="190"/>
      <c r="L103" s="286" t="s">
        <v>793</v>
      </c>
      <c r="M103" s="88" t="s">
        <v>806</v>
      </c>
      <c r="N103" s="88" t="s">
        <v>807</v>
      </c>
      <c r="O103" s="88" t="s">
        <v>806</v>
      </c>
      <c r="P103" s="88" t="s">
        <v>807</v>
      </c>
      <c r="Q103" s="85"/>
      <c r="R103" s="85"/>
      <c r="S103" s="85"/>
      <c r="AC103" s="21" t="s">
        <v>862</v>
      </c>
      <c r="AD103" s="369" t="s">
        <v>895</v>
      </c>
      <c r="AE103" s="276"/>
      <c r="AF103" s="343">
        <v>10700.12</v>
      </c>
      <c r="AG103" s="352">
        <f t="shared" si="23"/>
        <v>10700.12</v>
      </c>
      <c r="AH103" s="354">
        <v>10700.12</v>
      </c>
      <c r="AI103" s="354">
        <f t="shared" si="16"/>
        <v>0</v>
      </c>
    </row>
    <row r="104" spans="1:35" ht="18.75">
      <c r="A104" s="158">
        <v>70</v>
      </c>
      <c r="B104" s="157" t="s">
        <v>574</v>
      </c>
      <c r="C104" s="186">
        <v>500</v>
      </c>
      <c r="D104" s="187">
        <f>SUM(D35+D36+D37+D72+D84+D94)</f>
        <v>0</v>
      </c>
      <c r="E104" s="187">
        <f>SUM(E35+E36+E37+E72+E84+E94)</f>
        <v>0</v>
      </c>
      <c r="F104" s="322">
        <f>SUM(G104:J104)</f>
        <v>34153.75473</v>
      </c>
      <c r="G104" s="322">
        <f>G35+G36+G37</f>
        <v>9358.228790000001</v>
      </c>
      <c r="H104" s="322">
        <f>H35+H36+H37</f>
        <v>7853.35415</v>
      </c>
      <c r="I104" s="322">
        <f>I35+I36+I37</f>
        <v>8392.54116</v>
      </c>
      <c r="J104" s="322">
        <f>J35+J36+J37</f>
        <v>8549.630630000001</v>
      </c>
      <c r="K104" s="190"/>
      <c r="L104" s="85" t="s">
        <v>794</v>
      </c>
      <c r="M104" s="292">
        <v>2560330.33</v>
      </c>
      <c r="N104" s="452">
        <f>SUM(M104:M106)</f>
        <v>7863030</v>
      </c>
      <c r="O104" s="292">
        <v>0</v>
      </c>
      <c r="P104" s="452">
        <f>SUM(O104:O106)</f>
        <v>90061</v>
      </c>
      <c r="Q104" s="294"/>
      <c r="R104" s="294"/>
      <c r="S104" s="85"/>
      <c r="T104" s="171"/>
      <c r="U104" s="171"/>
      <c r="V104" s="171"/>
      <c r="W104" s="171"/>
      <c r="X104" s="171"/>
      <c r="Y104" s="171"/>
      <c r="Z104" s="171"/>
      <c r="AC104" s="21" t="s">
        <v>691</v>
      </c>
      <c r="AD104" s="369" t="s">
        <v>692</v>
      </c>
      <c r="AE104" s="276">
        <v>40000</v>
      </c>
      <c r="AF104" s="343">
        <v>87752.92</v>
      </c>
      <c r="AG104" s="352">
        <f t="shared" si="23"/>
        <v>87752.92</v>
      </c>
      <c r="AH104" s="354">
        <v>87752.92</v>
      </c>
      <c r="AI104" s="354">
        <f t="shared" si="16"/>
        <v>0</v>
      </c>
    </row>
    <row r="105" spans="1:35" ht="18.75">
      <c r="A105" s="158">
        <v>71</v>
      </c>
      <c r="B105" s="157" t="s">
        <v>575</v>
      </c>
      <c r="C105" s="186">
        <v>600</v>
      </c>
      <c r="D105" s="187">
        <f>D42+D45+D46+D52+D53+D56+D58+D59+D60+D86+D99</f>
        <v>0</v>
      </c>
      <c r="E105" s="187">
        <f>E42+E45+E46+E52+E53+E56+E58+E59+E60+E86+E99</f>
        <v>0</v>
      </c>
      <c r="F105" s="322">
        <f>SUM(G105:J105)</f>
        <v>-33838.760590000005</v>
      </c>
      <c r="G105" s="322">
        <f>G82+G86+G94+G84-G96</f>
        <v>-9349.382260000002</v>
      </c>
      <c r="H105" s="322">
        <f>H82+H86+H94+H84-H96</f>
        <v>-7824.166749999999</v>
      </c>
      <c r="I105" s="322">
        <f>I82+I86+I94+I84-I96</f>
        <v>-8387.34116</v>
      </c>
      <c r="J105" s="322">
        <f>J82+J86+J94-J96</f>
        <v>-8277.870420000001</v>
      </c>
      <c r="K105" s="190"/>
      <c r="L105" s="85" t="s">
        <v>795</v>
      </c>
      <c r="M105" s="292">
        <v>2619707.67</v>
      </c>
      <c r="N105" s="452"/>
      <c r="O105" s="292">
        <v>37011</v>
      </c>
      <c r="P105" s="452"/>
      <c r="Q105" s="294">
        <v>23310.8</v>
      </c>
      <c r="R105" s="294"/>
      <c r="S105" s="294">
        <f>P104-Q105</f>
        <v>66750.2</v>
      </c>
      <c r="T105" s="171"/>
      <c r="U105" s="171"/>
      <c r="V105" s="171"/>
      <c r="W105" s="171"/>
      <c r="X105" s="171"/>
      <c r="Y105" s="171"/>
      <c r="Z105" s="171"/>
      <c r="AC105" s="21" t="s">
        <v>864</v>
      </c>
      <c r="AD105" s="369" t="s">
        <v>863</v>
      </c>
      <c r="AE105" s="276"/>
      <c r="AF105" s="343">
        <v>815.86</v>
      </c>
      <c r="AG105" s="352">
        <f t="shared" si="23"/>
        <v>815.86</v>
      </c>
      <c r="AH105" s="354">
        <v>815.86</v>
      </c>
      <c r="AI105" s="354">
        <f t="shared" si="16"/>
        <v>0</v>
      </c>
    </row>
    <row r="106" spans="1:35" ht="18.75">
      <c r="A106" s="158">
        <v>72</v>
      </c>
      <c r="B106" s="159" t="s">
        <v>576</v>
      </c>
      <c r="C106" s="160">
        <v>650</v>
      </c>
      <c r="D106" s="161"/>
      <c r="E106" s="161"/>
      <c r="F106" s="314">
        <f>SUM(G106:J106)</f>
        <v>314.9941400000007</v>
      </c>
      <c r="G106" s="315">
        <f>G104+G105</f>
        <v>8.846529999998893</v>
      </c>
      <c r="H106" s="315">
        <f>H104+H105</f>
        <v>29.187400000000707</v>
      </c>
      <c r="I106" s="315">
        <f>I104+I105</f>
        <v>5.200000000000728</v>
      </c>
      <c r="J106" s="315">
        <f>J104+J105</f>
        <v>271.76021000000037</v>
      </c>
      <c r="K106" s="190"/>
      <c r="L106" s="85" t="s">
        <v>796</v>
      </c>
      <c r="M106" s="292">
        <v>2682992</v>
      </c>
      <c r="N106" s="452"/>
      <c r="O106" s="292">
        <v>53050</v>
      </c>
      <c r="P106" s="452"/>
      <c r="Q106" s="294"/>
      <c r="R106" s="294"/>
      <c r="S106" s="294"/>
      <c r="T106" s="171"/>
      <c r="U106" s="171"/>
      <c r="V106" s="171"/>
      <c r="W106" s="171"/>
      <c r="X106" s="171"/>
      <c r="Y106" s="171"/>
      <c r="Z106" s="171"/>
      <c r="AC106" s="21" t="s">
        <v>151</v>
      </c>
      <c r="AD106" s="369" t="s">
        <v>152</v>
      </c>
      <c r="AE106" s="276">
        <v>20000</v>
      </c>
      <c r="AF106" s="343">
        <v>20000</v>
      </c>
      <c r="AG106" s="352">
        <f t="shared" si="23"/>
        <v>20000</v>
      </c>
      <c r="AH106" s="354">
        <v>17630.4</v>
      </c>
      <c r="AI106" s="354">
        <f t="shared" si="16"/>
        <v>2369.5999999999985</v>
      </c>
    </row>
    <row r="107" spans="1:35" ht="18.75">
      <c r="A107" s="158">
        <v>73</v>
      </c>
      <c r="B107" s="442" t="s">
        <v>577</v>
      </c>
      <c r="C107" s="439"/>
      <c r="D107" s="178"/>
      <c r="E107" s="178"/>
      <c r="F107" s="323" t="s">
        <v>578</v>
      </c>
      <c r="G107" s="323" t="s">
        <v>579</v>
      </c>
      <c r="H107" s="323" t="s">
        <v>580</v>
      </c>
      <c r="I107" s="323" t="s">
        <v>581</v>
      </c>
      <c r="J107" s="323" t="s">
        <v>582</v>
      </c>
      <c r="K107" s="190"/>
      <c r="L107" s="85" t="s">
        <v>797</v>
      </c>
      <c r="M107" s="292">
        <v>2475605.34</v>
      </c>
      <c r="N107" s="452">
        <f>SUM(M107:M109)</f>
        <v>7839768.5</v>
      </c>
      <c r="O107" s="292">
        <v>47574</v>
      </c>
      <c r="P107" s="452">
        <f>SUM(O107:O109)</f>
        <v>151510</v>
      </c>
      <c r="Q107" s="294"/>
      <c r="R107" s="294"/>
      <c r="S107" s="294"/>
      <c r="AC107" s="21" t="s">
        <v>866</v>
      </c>
      <c r="AD107" s="369" t="s">
        <v>865</v>
      </c>
      <c r="AE107" s="276"/>
      <c r="AF107" s="343">
        <v>21000</v>
      </c>
      <c r="AG107" s="352">
        <f t="shared" si="23"/>
        <v>21000</v>
      </c>
      <c r="AH107" s="354">
        <v>0</v>
      </c>
      <c r="AI107" s="354">
        <f t="shared" si="16"/>
        <v>21000</v>
      </c>
    </row>
    <row r="108" spans="1:35" ht="31.5">
      <c r="A108" s="158">
        <v>74</v>
      </c>
      <c r="B108" s="159" t="s">
        <v>583</v>
      </c>
      <c r="C108" s="160">
        <v>700</v>
      </c>
      <c r="D108" s="161"/>
      <c r="E108" s="161"/>
      <c r="F108" s="315">
        <v>227</v>
      </c>
      <c r="G108" s="315">
        <v>227</v>
      </c>
      <c r="H108" s="315">
        <v>227</v>
      </c>
      <c r="I108" s="315">
        <v>227</v>
      </c>
      <c r="J108" s="315">
        <v>227</v>
      </c>
      <c r="K108" s="190"/>
      <c r="L108" s="85" t="s">
        <v>798</v>
      </c>
      <c r="M108" s="292">
        <v>2682081.58</v>
      </c>
      <c r="N108" s="452"/>
      <c r="O108" s="292">
        <v>50825</v>
      </c>
      <c r="P108" s="452"/>
      <c r="Q108" s="294">
        <v>32589.7</v>
      </c>
      <c r="R108" s="294"/>
      <c r="S108" s="294">
        <f>P107-Q108</f>
        <v>118920.3</v>
      </c>
      <c r="AC108" s="283" t="s">
        <v>770</v>
      </c>
      <c r="AD108" s="283" t="s">
        <v>784</v>
      </c>
      <c r="AE108" s="276">
        <v>10000</v>
      </c>
      <c r="AF108" s="343">
        <v>10483.2</v>
      </c>
      <c r="AG108" s="352">
        <f t="shared" si="23"/>
        <v>10483.2</v>
      </c>
      <c r="AH108" s="354">
        <v>10483.2</v>
      </c>
      <c r="AI108" s="354">
        <f t="shared" si="16"/>
        <v>0</v>
      </c>
    </row>
    <row r="109" spans="1:35" ht="18.75">
      <c r="A109" s="158">
        <v>75</v>
      </c>
      <c r="B109" s="159" t="s">
        <v>584</v>
      </c>
      <c r="C109" s="160">
        <v>710</v>
      </c>
      <c r="D109" s="161"/>
      <c r="E109" s="161"/>
      <c r="F109" s="319">
        <v>5451.57</v>
      </c>
      <c r="G109" s="319">
        <v>5451.57</v>
      </c>
      <c r="H109" s="319">
        <v>5451.57</v>
      </c>
      <c r="I109" s="319">
        <v>5451.57</v>
      </c>
      <c r="J109" s="319">
        <f>I109</f>
        <v>5451.57</v>
      </c>
      <c r="K109" s="190"/>
      <c r="L109" s="85" t="s">
        <v>799</v>
      </c>
      <c r="M109" s="292">
        <v>2682081.58</v>
      </c>
      <c r="N109" s="452"/>
      <c r="O109" s="292">
        <v>53111</v>
      </c>
      <c r="P109" s="452"/>
      <c r="Q109" s="294"/>
      <c r="R109" s="294"/>
      <c r="S109" s="85"/>
      <c r="AC109" s="397" t="s">
        <v>212</v>
      </c>
      <c r="AD109" s="398"/>
      <c r="AE109" s="74">
        <f>SUM(AE85:AE108)</f>
        <v>1084000</v>
      </c>
      <c r="AF109" s="344">
        <f>SUM(AF85:AF108)</f>
        <v>1453948.53</v>
      </c>
      <c r="AG109" s="360">
        <f>SUM(AG85:AG108)</f>
        <v>1453948.53</v>
      </c>
      <c r="AH109" s="360">
        <f>SUM(AH85:AH108)</f>
        <v>1275116.6</v>
      </c>
      <c r="AI109" s="354">
        <f t="shared" si="16"/>
        <v>178831.92999999993</v>
      </c>
    </row>
    <row r="110" spans="1:35" ht="18.75">
      <c r="A110" s="158">
        <v>76</v>
      </c>
      <c r="B110" s="159" t="s">
        <v>585</v>
      </c>
      <c r="C110" s="160">
        <v>720</v>
      </c>
      <c r="D110" s="161"/>
      <c r="E110" s="161"/>
      <c r="F110" s="319"/>
      <c r="G110" s="319"/>
      <c r="H110" s="319"/>
      <c r="I110" s="319">
        <v>0</v>
      </c>
      <c r="J110" s="319">
        <v>0</v>
      </c>
      <c r="K110" s="190"/>
      <c r="L110" s="85" t="s">
        <v>800</v>
      </c>
      <c r="M110" s="292">
        <v>2682081.58</v>
      </c>
      <c r="N110" s="452">
        <f>SUM(M110:M112)</f>
        <v>8046244.74</v>
      </c>
      <c r="O110" s="292">
        <v>89663</v>
      </c>
      <c r="P110" s="452">
        <f>SUM(O110:O112)</f>
        <v>174089</v>
      </c>
      <c r="Q110" s="294"/>
      <c r="R110" s="294"/>
      <c r="AC110" s="72"/>
      <c r="AD110" s="72"/>
      <c r="AE110" s="74"/>
      <c r="AF110" s="344"/>
      <c r="AG110" s="362"/>
      <c r="AH110" s="362"/>
      <c r="AI110" s="354">
        <f t="shared" si="16"/>
        <v>0</v>
      </c>
    </row>
    <row r="111" spans="1:35" ht="18.75">
      <c r="A111" s="158">
        <v>77</v>
      </c>
      <c r="B111" s="159" t="s">
        <v>586</v>
      </c>
      <c r="C111" s="160">
        <v>730</v>
      </c>
      <c r="D111" s="161"/>
      <c r="E111" s="161"/>
      <c r="F111" s="319"/>
      <c r="G111" s="319"/>
      <c r="H111" s="319"/>
      <c r="I111" s="319">
        <v>0</v>
      </c>
      <c r="J111" s="319">
        <v>0</v>
      </c>
      <c r="K111" s="190"/>
      <c r="L111" s="85" t="s">
        <v>801</v>
      </c>
      <c r="M111" s="292">
        <v>2682081.58</v>
      </c>
      <c r="N111" s="452"/>
      <c r="O111" s="292">
        <v>43216</v>
      </c>
      <c r="P111" s="452"/>
      <c r="Q111" s="294">
        <v>42709</v>
      </c>
      <c r="R111" s="294"/>
      <c r="S111" s="294">
        <f>P110-Q111</f>
        <v>131380</v>
      </c>
      <c r="AC111" s="373" t="s">
        <v>665</v>
      </c>
      <c r="AD111" s="373"/>
      <c r="AE111" s="74"/>
      <c r="AF111" s="344"/>
      <c r="AG111" s="362"/>
      <c r="AH111" s="362"/>
      <c r="AI111" s="354">
        <f t="shared" si="16"/>
        <v>0</v>
      </c>
    </row>
    <row r="112" spans="2:35" ht="18.75">
      <c r="B112" s="143"/>
      <c r="C112" s="191"/>
      <c r="D112" s="192"/>
      <c r="E112" s="192"/>
      <c r="F112" s="324"/>
      <c r="G112" s="324"/>
      <c r="H112" s="324"/>
      <c r="I112" s="324"/>
      <c r="J112" s="324"/>
      <c r="K112" s="190"/>
      <c r="L112" s="85" t="s">
        <v>802</v>
      </c>
      <c r="M112" s="292">
        <v>2682081.58</v>
      </c>
      <c r="N112" s="452"/>
      <c r="O112" s="292">
        <v>41210</v>
      </c>
      <c r="P112" s="452"/>
      <c r="Q112" s="294"/>
      <c r="R112" s="294"/>
      <c r="AC112" s="21" t="s">
        <v>249</v>
      </c>
      <c r="AD112" s="369" t="s">
        <v>248</v>
      </c>
      <c r="AE112" s="276">
        <v>30000</v>
      </c>
      <c r="AF112" s="343">
        <v>30000</v>
      </c>
      <c r="AG112" s="359">
        <f>AF112</f>
        <v>30000</v>
      </c>
      <c r="AH112" s="354">
        <v>22132</v>
      </c>
      <c r="AI112" s="354">
        <f t="shared" si="16"/>
        <v>7868</v>
      </c>
    </row>
    <row r="113" spans="2:35" ht="18.75">
      <c r="B113" s="143"/>
      <c r="D113" s="193"/>
      <c r="E113" s="194"/>
      <c r="F113" s="325"/>
      <c r="G113" s="325"/>
      <c r="H113" s="325"/>
      <c r="I113" s="325"/>
      <c r="J113" s="325"/>
      <c r="L113" s="85" t="s">
        <v>803</v>
      </c>
      <c r="M113" s="292">
        <v>2682081.58</v>
      </c>
      <c r="N113" s="452">
        <f>SUM(M113:M115)</f>
        <v>8046244.76</v>
      </c>
      <c r="O113" s="292">
        <v>47773</v>
      </c>
      <c r="P113" s="452">
        <f>SUM(O113:O115)</f>
        <v>88068</v>
      </c>
      <c r="Q113" s="294"/>
      <c r="R113" s="294"/>
      <c r="AC113" s="455" t="s">
        <v>666</v>
      </c>
      <c r="AD113" s="455"/>
      <c r="AE113" s="215"/>
      <c r="AF113" s="344"/>
      <c r="AG113" s="362"/>
      <c r="AH113" s="362"/>
      <c r="AI113" s="354">
        <f t="shared" si="16"/>
        <v>0</v>
      </c>
    </row>
    <row r="114" spans="2:35" ht="18.75">
      <c r="B114" s="195" t="s">
        <v>903</v>
      </c>
      <c r="C114" s="191"/>
      <c r="D114" s="433" t="s">
        <v>588</v>
      </c>
      <c r="E114" s="433"/>
      <c r="F114" s="433"/>
      <c r="G114" s="326"/>
      <c r="H114" s="453" t="s">
        <v>901</v>
      </c>
      <c r="I114" s="453"/>
      <c r="J114" s="453"/>
      <c r="L114" s="85" t="s">
        <v>804</v>
      </c>
      <c r="M114" s="292">
        <v>2682081.58</v>
      </c>
      <c r="N114" s="452"/>
      <c r="O114" s="292">
        <v>40295</v>
      </c>
      <c r="P114" s="452"/>
      <c r="Q114" s="294">
        <v>27443</v>
      </c>
      <c r="R114" s="294"/>
      <c r="S114" s="294">
        <f>P113-Q114</f>
        <v>60625</v>
      </c>
      <c r="AC114" s="216"/>
      <c r="AD114" s="217" t="s">
        <v>450</v>
      </c>
      <c r="AE114" s="276">
        <v>8000</v>
      </c>
      <c r="AF114" s="343"/>
      <c r="AG114" s="354"/>
      <c r="AH114" s="354"/>
      <c r="AI114" s="354">
        <f t="shared" si="16"/>
        <v>0</v>
      </c>
    </row>
    <row r="115" spans="2:35" s="200" customFormat="1" ht="18.75">
      <c r="B115" s="197" t="s">
        <v>590</v>
      </c>
      <c r="C115" s="198"/>
      <c r="D115" s="435" t="s">
        <v>591</v>
      </c>
      <c r="E115" s="435"/>
      <c r="F115" s="435"/>
      <c r="G115" s="327"/>
      <c r="H115" s="454" t="s">
        <v>592</v>
      </c>
      <c r="I115" s="454"/>
      <c r="J115" s="454"/>
      <c r="L115" s="85" t="s">
        <v>805</v>
      </c>
      <c r="M115" s="292">
        <v>2682081.6</v>
      </c>
      <c r="N115" s="452"/>
      <c r="O115" s="292">
        <v>0</v>
      </c>
      <c r="P115" s="452"/>
      <c r="Q115" s="294"/>
      <c r="R115" s="294"/>
      <c r="S115" s="139"/>
      <c r="T115" s="139"/>
      <c r="U115" s="139"/>
      <c r="V115" s="139"/>
      <c r="W115" s="139"/>
      <c r="X115" s="139"/>
      <c r="Y115" s="139"/>
      <c r="Z115" s="139"/>
      <c r="AC115" s="455" t="s">
        <v>667</v>
      </c>
      <c r="AD115" s="455"/>
      <c r="AE115" s="83"/>
      <c r="AF115" s="343"/>
      <c r="AG115" s="354"/>
      <c r="AH115" s="354"/>
      <c r="AI115" s="354">
        <f t="shared" si="16"/>
        <v>0</v>
      </c>
    </row>
    <row r="116" spans="2:35" ht="18.75">
      <c r="B116" s="143"/>
      <c r="D116" s="193"/>
      <c r="E116" s="194"/>
      <c r="F116" s="325"/>
      <c r="G116" s="325"/>
      <c r="H116" s="325"/>
      <c r="I116" s="325"/>
      <c r="J116" s="325"/>
      <c r="M116" s="293">
        <f>SUM(M104:M115)</f>
        <v>31795287.999999993</v>
      </c>
      <c r="O116" s="293">
        <f>SUM(O104:O115)</f>
        <v>503728</v>
      </c>
      <c r="Q116" s="293">
        <f>SUM(Q104:Q115)</f>
        <v>126052.5</v>
      </c>
      <c r="R116" s="293"/>
      <c r="S116" s="293">
        <f>SUM(S104:S115)</f>
        <v>377675.5</v>
      </c>
      <c r="AC116" s="216"/>
      <c r="AD116" s="217" t="s">
        <v>668</v>
      </c>
      <c r="AE116" s="276">
        <v>30000</v>
      </c>
      <c r="AF116" s="343"/>
      <c r="AG116" s="363">
        <v>40000</v>
      </c>
      <c r="AH116" s="354">
        <f>3516.9+16944.95+8520+1693.74</f>
        <v>30675.590000000004</v>
      </c>
      <c r="AI116" s="354">
        <f t="shared" si="16"/>
        <v>9324.409999999996</v>
      </c>
    </row>
    <row r="117" spans="2:35" ht="18.75">
      <c r="B117" s="143"/>
      <c r="D117" s="193"/>
      <c r="E117" s="194"/>
      <c r="F117" s="325"/>
      <c r="G117" s="325"/>
      <c r="H117" s="325"/>
      <c r="I117" s="325"/>
      <c r="J117" s="325"/>
      <c r="AC117" s="72"/>
      <c r="AD117" s="72"/>
      <c r="AE117" s="74"/>
      <c r="AF117" s="344"/>
      <c r="AG117" s="362"/>
      <c r="AH117" s="362"/>
      <c r="AI117" s="354">
        <f t="shared" si="16"/>
        <v>0</v>
      </c>
    </row>
    <row r="118" spans="2:35" ht="18.75">
      <c r="B118" s="143"/>
      <c r="D118" s="193"/>
      <c r="E118" s="194"/>
      <c r="F118" s="325"/>
      <c r="G118" s="325"/>
      <c r="H118" s="325"/>
      <c r="I118" s="325"/>
      <c r="J118" s="325"/>
      <c r="L118" s="158" t="s">
        <v>813</v>
      </c>
      <c r="Q118" s="200"/>
      <c r="R118" s="200"/>
      <c r="S118" s="200"/>
      <c r="T118" s="200"/>
      <c r="U118" s="200"/>
      <c r="V118" s="200"/>
      <c r="W118" s="200"/>
      <c r="X118" s="200"/>
      <c r="Y118" s="200"/>
      <c r="Z118" s="200"/>
      <c r="AC118" s="373" t="s">
        <v>669</v>
      </c>
      <c r="AD118" s="373"/>
      <c r="AG118" s="361"/>
      <c r="AH118" s="361"/>
      <c r="AI118" s="354">
        <f t="shared" si="16"/>
        <v>0</v>
      </c>
    </row>
    <row r="119" spans="2:35" ht="18.75">
      <c r="B119" s="143"/>
      <c r="D119" s="193"/>
      <c r="E119" s="194"/>
      <c r="F119" s="325"/>
      <c r="G119" s="325"/>
      <c r="H119" s="325"/>
      <c r="I119" s="325"/>
      <c r="J119" s="325"/>
      <c r="M119" s="294">
        <f>M116+O116+1486391.61+8136.99+22800</f>
        <v>33816344.599999994</v>
      </c>
      <c r="N119" s="139" t="s">
        <v>814</v>
      </c>
      <c r="AC119" s="21" t="s">
        <v>701</v>
      </c>
      <c r="AD119" s="369" t="s">
        <v>702</v>
      </c>
      <c r="AE119" s="276">
        <v>30000</v>
      </c>
      <c r="AF119" s="343">
        <v>30000</v>
      </c>
      <c r="AG119" s="359">
        <f aca="true" t="shared" si="25" ref="AG119:AG124">AF119</f>
        <v>30000</v>
      </c>
      <c r="AH119" s="354">
        <v>28350</v>
      </c>
      <c r="AI119" s="354">
        <f t="shared" si="16"/>
        <v>1650</v>
      </c>
    </row>
    <row r="120" spans="2:35" ht="18.75">
      <c r="B120" s="143"/>
      <c r="D120" s="193"/>
      <c r="E120" s="194"/>
      <c r="F120" s="325"/>
      <c r="G120" s="325"/>
      <c r="H120" s="325"/>
      <c r="I120" s="325"/>
      <c r="J120" s="325"/>
      <c r="AC120" s="21" t="s">
        <v>696</v>
      </c>
      <c r="AD120" s="369" t="s">
        <v>697</v>
      </c>
      <c r="AE120" s="276" t="e">
        <f>#REF!*#REF!</f>
        <v>#REF!</v>
      </c>
      <c r="AF120" s="346">
        <v>0</v>
      </c>
      <c r="AG120" s="354">
        <f t="shared" si="25"/>
        <v>0</v>
      </c>
      <c r="AH120" s="354">
        <v>0</v>
      </c>
      <c r="AI120" s="354">
        <f t="shared" si="16"/>
        <v>0</v>
      </c>
    </row>
    <row r="121" spans="2:35" ht="31.5">
      <c r="B121" s="143"/>
      <c r="D121" s="193"/>
      <c r="E121" s="194"/>
      <c r="F121" s="325"/>
      <c r="G121" s="325"/>
      <c r="H121" s="325"/>
      <c r="I121" s="325"/>
      <c r="J121" s="325"/>
      <c r="L121" s="85" t="s">
        <v>818</v>
      </c>
      <c r="M121" s="293">
        <v>1486391.61</v>
      </c>
      <c r="AC121" s="21" t="s">
        <v>773</v>
      </c>
      <c r="AD121" s="369" t="s">
        <v>776</v>
      </c>
      <c r="AE121" s="276">
        <v>800000</v>
      </c>
      <c r="AF121" s="346">
        <v>0</v>
      </c>
      <c r="AG121" s="354">
        <f t="shared" si="25"/>
        <v>0</v>
      </c>
      <c r="AH121" s="354">
        <v>0</v>
      </c>
      <c r="AI121" s="354">
        <f t="shared" si="16"/>
        <v>0</v>
      </c>
    </row>
    <row r="122" spans="2:35" ht="18.75">
      <c r="B122" s="143"/>
      <c r="D122" s="193"/>
      <c r="E122" s="194"/>
      <c r="F122" s="325"/>
      <c r="G122" s="325"/>
      <c r="H122" s="325"/>
      <c r="I122" s="325"/>
      <c r="J122" s="325"/>
      <c r="AC122" s="21" t="s">
        <v>774</v>
      </c>
      <c r="AD122" s="369" t="s">
        <v>775</v>
      </c>
      <c r="AE122" s="276">
        <v>40000</v>
      </c>
      <c r="AF122" s="346">
        <v>0</v>
      </c>
      <c r="AG122" s="354">
        <f t="shared" si="25"/>
        <v>0</v>
      </c>
      <c r="AH122" s="354">
        <v>0</v>
      </c>
      <c r="AI122" s="354">
        <f t="shared" si="16"/>
        <v>0</v>
      </c>
    </row>
    <row r="123" spans="2:35" ht="18.75">
      <c r="B123" s="143"/>
      <c r="D123" s="193"/>
      <c r="E123" s="194"/>
      <c r="F123" s="325"/>
      <c r="G123" s="325"/>
      <c r="H123" s="325"/>
      <c r="I123" s="325"/>
      <c r="J123" s="325"/>
      <c r="AC123" s="21" t="s">
        <v>888</v>
      </c>
      <c r="AD123" s="369" t="s">
        <v>889</v>
      </c>
      <c r="AE123" s="276"/>
      <c r="AF123" s="346">
        <v>400000</v>
      </c>
      <c r="AG123" s="359">
        <f t="shared" si="25"/>
        <v>400000</v>
      </c>
      <c r="AH123" s="354">
        <v>359984</v>
      </c>
      <c r="AI123" s="354">
        <f t="shared" si="16"/>
        <v>40016</v>
      </c>
    </row>
    <row r="124" spans="2:35" ht="18.75">
      <c r="B124" s="143"/>
      <c r="D124" s="193"/>
      <c r="E124" s="194"/>
      <c r="F124" s="325"/>
      <c r="G124" s="325"/>
      <c r="H124" s="325"/>
      <c r="I124" s="325"/>
      <c r="J124" s="325"/>
      <c r="AC124" s="278"/>
      <c r="AD124" s="279"/>
      <c r="AE124" s="276">
        <f>350000-65000-280000-5000</f>
        <v>0</v>
      </c>
      <c r="AF124" s="343"/>
      <c r="AG124" s="354">
        <f t="shared" si="25"/>
        <v>0</v>
      </c>
      <c r="AH124" s="354"/>
      <c r="AI124" s="354">
        <f t="shared" si="16"/>
        <v>0</v>
      </c>
    </row>
    <row r="125" spans="2:35" ht="18.75">
      <c r="B125" s="143"/>
      <c r="D125" s="193"/>
      <c r="E125" s="194"/>
      <c r="F125" s="325"/>
      <c r="G125" s="325"/>
      <c r="H125" s="325"/>
      <c r="I125" s="325"/>
      <c r="J125" s="325"/>
      <c r="AC125" s="397" t="s">
        <v>212</v>
      </c>
      <c r="AD125" s="398"/>
      <c r="AE125" s="74" t="e">
        <f>SUM(AE119:AE124)</f>
        <v>#REF!</v>
      </c>
      <c r="AF125" s="344">
        <f>SUM(AF119:AF124)</f>
        <v>430000</v>
      </c>
      <c r="AG125" s="362"/>
      <c r="AH125" s="362"/>
      <c r="AI125" s="354">
        <f t="shared" si="16"/>
        <v>0</v>
      </c>
    </row>
    <row r="126" spans="2:35" ht="18.75">
      <c r="B126" s="143"/>
      <c r="D126" s="193"/>
      <c r="E126" s="194"/>
      <c r="F126" s="325"/>
      <c r="G126" s="325"/>
      <c r="H126" s="325"/>
      <c r="I126" s="325"/>
      <c r="J126" s="325"/>
      <c r="AG126" s="361"/>
      <c r="AH126" s="361"/>
      <c r="AI126" s="354">
        <f t="shared" si="16"/>
        <v>0</v>
      </c>
    </row>
    <row r="127" spans="2:35" ht="18.75">
      <c r="B127" s="143"/>
      <c r="D127" s="193"/>
      <c r="E127" s="194"/>
      <c r="F127" s="325"/>
      <c r="G127" s="325"/>
      <c r="H127" s="325"/>
      <c r="I127" s="325"/>
      <c r="J127" s="325"/>
      <c r="AC127" s="21" t="s">
        <v>235</v>
      </c>
      <c r="AD127" s="63" t="s">
        <v>236</v>
      </c>
      <c r="AE127" s="456">
        <f>AG127+AG128</f>
        <v>718529.5</v>
      </c>
      <c r="AF127" s="343">
        <v>658013.09</v>
      </c>
      <c r="AG127" s="354">
        <f>AF127</f>
        <v>658013.09</v>
      </c>
      <c r="AH127" s="354"/>
      <c r="AI127" s="354">
        <f t="shared" si="16"/>
        <v>658013.09</v>
      </c>
    </row>
    <row r="128" spans="2:35" ht="18.75">
      <c r="B128" s="143"/>
      <c r="D128" s="193"/>
      <c r="E128" s="194"/>
      <c r="F128" s="325"/>
      <c r="G128" s="325"/>
      <c r="H128" s="325"/>
      <c r="I128" s="325"/>
      <c r="J128" s="325"/>
      <c r="AC128" s="21" t="s">
        <v>771</v>
      </c>
      <c r="AD128" s="63" t="s">
        <v>772</v>
      </c>
      <c r="AE128" s="456"/>
      <c r="AF128" s="343">
        <v>60516.41</v>
      </c>
      <c r="AG128" s="354">
        <f>AF128</f>
        <v>60516.41</v>
      </c>
      <c r="AH128" s="354"/>
      <c r="AI128" s="354">
        <f t="shared" si="16"/>
        <v>60516.41</v>
      </c>
    </row>
    <row r="129" spans="2:35" ht="18.75">
      <c r="B129" s="143"/>
      <c r="D129" s="193"/>
      <c r="E129" s="194"/>
      <c r="F129" s="325"/>
      <c r="G129" s="325"/>
      <c r="H129" s="325"/>
      <c r="I129" s="325"/>
      <c r="J129" s="325"/>
      <c r="AC129" s="21" t="s">
        <v>355</v>
      </c>
      <c r="AD129" s="63" t="s">
        <v>354</v>
      </c>
      <c r="AE129" s="456">
        <f>AG129+AG130</f>
        <v>49500</v>
      </c>
      <c r="AF129" s="343">
        <v>29950</v>
      </c>
      <c r="AG129" s="363">
        <v>47790</v>
      </c>
      <c r="AH129" s="354"/>
      <c r="AI129" s="354">
        <f t="shared" si="16"/>
        <v>47790</v>
      </c>
    </row>
    <row r="130" spans="2:35" ht="18.75">
      <c r="B130" s="143"/>
      <c r="D130" s="193"/>
      <c r="E130" s="194"/>
      <c r="F130" s="325"/>
      <c r="G130" s="325"/>
      <c r="H130" s="325"/>
      <c r="I130" s="325"/>
      <c r="J130" s="325"/>
      <c r="AC130" s="21" t="s">
        <v>353</v>
      </c>
      <c r="AD130" s="63" t="s">
        <v>352</v>
      </c>
      <c r="AE130" s="456"/>
      <c r="AF130" s="343">
        <v>1710</v>
      </c>
      <c r="AG130" s="354">
        <v>1710</v>
      </c>
      <c r="AH130" s="354"/>
      <c r="AI130" s="354">
        <f t="shared" si="16"/>
        <v>1710</v>
      </c>
    </row>
    <row r="131" spans="2:35" ht="18.75">
      <c r="B131" s="143"/>
      <c r="D131" s="193"/>
      <c r="E131" s="194"/>
      <c r="F131" s="325"/>
      <c r="G131" s="325"/>
      <c r="H131" s="325"/>
      <c r="I131" s="325"/>
      <c r="J131" s="325"/>
      <c r="AC131" s="21" t="s">
        <v>237</v>
      </c>
      <c r="AD131" s="63" t="s">
        <v>238</v>
      </c>
      <c r="AE131" s="282"/>
      <c r="AF131" s="346">
        <v>400000</v>
      </c>
      <c r="AG131" s="354">
        <v>400000</v>
      </c>
      <c r="AH131" s="354">
        <v>123671.52</v>
      </c>
      <c r="AI131" s="354">
        <f>AG131-AH131</f>
        <v>276328.48</v>
      </c>
    </row>
    <row r="132" spans="2:35" ht="18.75">
      <c r="B132" s="143"/>
      <c r="D132" s="193"/>
      <c r="E132" s="194"/>
      <c r="F132" s="325"/>
      <c r="G132" s="325"/>
      <c r="H132" s="325"/>
      <c r="I132" s="325"/>
      <c r="J132" s="325"/>
      <c r="AC132" s="21" t="s">
        <v>239</v>
      </c>
      <c r="AD132" s="369" t="s">
        <v>240</v>
      </c>
      <c r="AE132" s="456">
        <f>AG132+AG133</f>
        <v>12186</v>
      </c>
      <c r="AF132" s="343">
        <v>7614</v>
      </c>
      <c r="AG132" s="354">
        <v>7614</v>
      </c>
      <c r="AH132" s="354"/>
      <c r="AI132" s="354">
        <f>AG132-AH132</f>
        <v>7614</v>
      </c>
    </row>
    <row r="133" spans="2:35" ht="18.75">
      <c r="B133" s="143"/>
      <c r="D133" s="193"/>
      <c r="E133" s="194"/>
      <c r="F133" s="325"/>
      <c r="G133" s="325"/>
      <c r="H133" s="325"/>
      <c r="I133" s="325"/>
      <c r="J133" s="325"/>
      <c r="AC133" s="21" t="s">
        <v>241</v>
      </c>
      <c r="AD133" s="369" t="s">
        <v>242</v>
      </c>
      <c r="AE133" s="456"/>
      <c r="AF133" s="343">
        <v>4572</v>
      </c>
      <c r="AG133" s="354">
        <v>4572</v>
      </c>
      <c r="AH133" s="354"/>
      <c r="AI133" s="354">
        <f>AG133-AH133</f>
        <v>4572</v>
      </c>
    </row>
    <row r="134" spans="2:35" ht="18.75">
      <c r="B134" s="143"/>
      <c r="D134" s="193"/>
      <c r="E134" s="194"/>
      <c r="F134" s="325"/>
      <c r="G134" s="325"/>
      <c r="H134" s="325"/>
      <c r="I134" s="325"/>
      <c r="J134" s="325"/>
      <c r="AC134" s="397" t="s">
        <v>212</v>
      </c>
      <c r="AD134" s="398"/>
      <c r="AE134" s="270"/>
      <c r="AF134" s="344"/>
      <c r="AG134" s="362">
        <f>SUM(AG127:AG133)</f>
        <v>1180215.5</v>
      </c>
      <c r="AH134" s="362">
        <f>SUM(AH127:AH133)</f>
        <v>123671.52</v>
      </c>
      <c r="AI134" s="362">
        <f>SUM(AI127:AI133)</f>
        <v>1056543.98</v>
      </c>
    </row>
    <row r="135" spans="2:10" ht="18.75">
      <c r="B135" s="143"/>
      <c r="D135" s="193"/>
      <c r="E135" s="194"/>
      <c r="F135" s="325"/>
      <c r="G135" s="325"/>
      <c r="H135" s="325"/>
      <c r="I135" s="325"/>
      <c r="J135" s="325"/>
    </row>
    <row r="136" spans="2:10" ht="18.75">
      <c r="B136" s="143"/>
      <c r="D136" s="193"/>
      <c r="E136" s="194"/>
      <c r="F136" s="325"/>
      <c r="G136" s="325"/>
      <c r="H136" s="325"/>
      <c r="I136" s="325"/>
      <c r="J136" s="325"/>
    </row>
    <row r="137" spans="2:10" ht="18.75">
      <c r="B137" s="143"/>
      <c r="D137" s="193"/>
      <c r="E137" s="194"/>
      <c r="F137" s="325"/>
      <c r="G137" s="325"/>
      <c r="H137" s="325"/>
      <c r="I137" s="325"/>
      <c r="J137" s="325"/>
    </row>
    <row r="138" spans="2:10" ht="18.75">
      <c r="B138" s="143"/>
      <c r="D138" s="193"/>
      <c r="E138" s="194"/>
      <c r="F138" s="325"/>
      <c r="G138" s="325"/>
      <c r="H138" s="325"/>
      <c r="I138" s="325"/>
      <c r="J138" s="325"/>
    </row>
    <row r="139" spans="2:10" ht="18.75">
      <c r="B139" s="143"/>
      <c r="D139" s="193"/>
      <c r="E139" s="194"/>
      <c r="F139" s="325"/>
      <c r="G139" s="325"/>
      <c r="H139" s="325"/>
      <c r="I139" s="325"/>
      <c r="J139" s="325"/>
    </row>
    <row r="140" spans="2:10" ht="18.75">
      <c r="B140" s="143"/>
      <c r="D140" s="193"/>
      <c r="E140" s="194"/>
      <c r="F140" s="325"/>
      <c r="G140" s="325"/>
      <c r="H140" s="325"/>
      <c r="I140" s="325"/>
      <c r="J140" s="325"/>
    </row>
    <row r="141" spans="2:10" ht="18.75">
      <c r="B141" s="143"/>
      <c r="D141" s="193"/>
      <c r="E141" s="194"/>
      <c r="F141" s="325"/>
      <c r="G141" s="325"/>
      <c r="H141" s="325"/>
      <c r="I141" s="325"/>
      <c r="J141" s="325"/>
    </row>
    <row r="142" spans="2:10" ht="18.75">
      <c r="B142" s="143"/>
      <c r="D142" s="193"/>
      <c r="E142" s="194"/>
      <c r="F142" s="325"/>
      <c r="G142" s="325"/>
      <c r="H142" s="325"/>
      <c r="I142" s="325"/>
      <c r="J142" s="325"/>
    </row>
    <row r="143" spans="2:10" ht="18.75">
      <c r="B143" s="143"/>
      <c r="D143" s="193"/>
      <c r="E143" s="194"/>
      <c r="F143" s="325"/>
      <c r="G143" s="325"/>
      <c r="H143" s="325"/>
      <c r="I143" s="325"/>
      <c r="J143" s="325"/>
    </row>
    <row r="144" spans="2:10" ht="18.75">
      <c r="B144" s="143"/>
      <c r="D144" s="193"/>
      <c r="E144" s="194"/>
      <c r="F144" s="325"/>
      <c r="G144" s="325"/>
      <c r="H144" s="325"/>
      <c r="I144" s="325"/>
      <c r="J144" s="325"/>
    </row>
    <row r="145" spans="2:10" ht="18.75">
      <c r="B145" s="143"/>
      <c r="D145" s="193"/>
      <c r="E145" s="194"/>
      <c r="F145" s="325"/>
      <c r="G145" s="325"/>
      <c r="H145" s="325"/>
      <c r="I145" s="325"/>
      <c r="J145" s="325"/>
    </row>
    <row r="146" spans="2:10" ht="18.75">
      <c r="B146" s="143"/>
      <c r="D146" s="193"/>
      <c r="E146" s="194"/>
      <c r="F146" s="325"/>
      <c r="G146" s="325"/>
      <c r="H146" s="325"/>
      <c r="I146" s="325"/>
      <c r="J146" s="325"/>
    </row>
    <row r="147" spans="2:10" ht="18.75">
      <c r="B147" s="143"/>
      <c r="D147" s="193"/>
      <c r="E147" s="194"/>
      <c r="F147" s="325"/>
      <c r="G147" s="325"/>
      <c r="H147" s="325"/>
      <c r="I147" s="325"/>
      <c r="J147" s="325"/>
    </row>
    <row r="148" spans="2:10" ht="18.75">
      <c r="B148" s="143"/>
      <c r="D148" s="193"/>
      <c r="E148" s="194"/>
      <c r="F148" s="325"/>
      <c r="G148" s="325"/>
      <c r="H148" s="325"/>
      <c r="I148" s="325"/>
      <c r="J148" s="325"/>
    </row>
    <row r="149" spans="2:10" ht="18.75">
      <c r="B149" s="143"/>
      <c r="D149" s="193"/>
      <c r="E149" s="194"/>
      <c r="F149" s="325"/>
      <c r="G149" s="325"/>
      <c r="H149" s="325"/>
      <c r="I149" s="325"/>
      <c r="J149" s="325"/>
    </row>
    <row r="150" spans="2:10" ht="18.75">
      <c r="B150" s="143"/>
      <c r="D150" s="193"/>
      <c r="E150" s="194"/>
      <c r="F150" s="325"/>
      <c r="G150" s="325"/>
      <c r="H150" s="325"/>
      <c r="I150" s="325"/>
      <c r="J150" s="325"/>
    </row>
    <row r="151" spans="2:10" ht="18.75">
      <c r="B151" s="143"/>
      <c r="D151" s="193"/>
      <c r="E151" s="194"/>
      <c r="F151" s="325"/>
      <c r="G151" s="325"/>
      <c r="H151" s="325"/>
      <c r="I151" s="325"/>
      <c r="J151" s="325"/>
    </row>
    <row r="152" spans="2:10" ht="18.75">
      <c r="B152" s="143"/>
      <c r="D152" s="193"/>
      <c r="E152" s="194"/>
      <c r="F152" s="325"/>
      <c r="G152" s="325"/>
      <c r="H152" s="325"/>
      <c r="I152" s="325"/>
      <c r="J152" s="325"/>
    </row>
    <row r="153" spans="2:10" ht="18.75">
      <c r="B153" s="143"/>
      <c r="D153" s="193"/>
      <c r="E153" s="194"/>
      <c r="F153" s="325"/>
      <c r="G153" s="325"/>
      <c r="H153" s="325"/>
      <c r="I153" s="325"/>
      <c r="J153" s="325"/>
    </row>
    <row r="154" spans="2:10" ht="18.75">
      <c r="B154" s="143"/>
      <c r="D154" s="193"/>
      <c r="E154" s="194"/>
      <c r="F154" s="325"/>
      <c r="G154" s="325"/>
      <c r="H154" s="325"/>
      <c r="I154" s="325"/>
      <c r="J154" s="325"/>
    </row>
    <row r="155" spans="2:10" ht="18.75">
      <c r="B155" s="143"/>
      <c r="D155" s="193"/>
      <c r="E155" s="194"/>
      <c r="F155" s="325"/>
      <c r="G155" s="325"/>
      <c r="H155" s="325"/>
      <c r="I155" s="325"/>
      <c r="J155" s="325"/>
    </row>
    <row r="156" spans="2:10" ht="18.75">
      <c r="B156" s="143"/>
      <c r="D156" s="193"/>
      <c r="E156" s="194"/>
      <c r="F156" s="325"/>
      <c r="G156" s="325"/>
      <c r="H156" s="325"/>
      <c r="I156" s="325"/>
      <c r="J156" s="325"/>
    </row>
    <row r="157" ht="18.75">
      <c r="B157" s="201"/>
    </row>
    <row r="158" ht="18.75">
      <c r="B158" s="201"/>
    </row>
    <row r="159" spans="2:16" ht="18.75">
      <c r="B159" s="201"/>
      <c r="L159" s="285"/>
      <c r="M159" s="140"/>
      <c r="N159" s="140"/>
      <c r="O159" s="140"/>
      <c r="P159" s="140"/>
    </row>
    <row r="160" spans="2:16" ht="18.75">
      <c r="B160" s="201"/>
      <c r="L160" s="285"/>
      <c r="M160" s="140"/>
      <c r="N160" s="140"/>
      <c r="O160" s="140"/>
      <c r="P160" s="140"/>
    </row>
    <row r="161" spans="2:35" s="140" customFormat="1" ht="18.75">
      <c r="B161" s="201"/>
      <c r="F161" s="328"/>
      <c r="G161" s="328"/>
      <c r="H161" s="328"/>
      <c r="I161" s="328"/>
      <c r="J161" s="328"/>
      <c r="L161" s="285"/>
      <c r="Q161" s="139"/>
      <c r="R161" s="139"/>
      <c r="S161" s="139"/>
      <c r="T161" s="139"/>
      <c r="U161" s="139"/>
      <c r="V161" s="139"/>
      <c r="W161" s="139"/>
      <c r="X161" s="139"/>
      <c r="Y161" s="139"/>
      <c r="Z161" s="139"/>
      <c r="AC161"/>
      <c r="AD161"/>
      <c r="AE161" s="53"/>
      <c r="AF161" s="345"/>
      <c r="AG161" s="349"/>
      <c r="AH161" s="349"/>
      <c r="AI161" s="349"/>
    </row>
    <row r="162" spans="2:35" s="140" customFormat="1" ht="18.75">
      <c r="B162" s="201"/>
      <c r="F162" s="328"/>
      <c r="G162" s="328"/>
      <c r="H162" s="328"/>
      <c r="I162" s="328"/>
      <c r="J162" s="328"/>
      <c r="L162" s="285"/>
      <c r="Q162" s="139"/>
      <c r="R162" s="139"/>
      <c r="S162" s="139"/>
      <c r="T162" s="139"/>
      <c r="U162" s="139"/>
      <c r="V162" s="139"/>
      <c r="W162" s="139"/>
      <c r="X162" s="139"/>
      <c r="Y162" s="139"/>
      <c r="Z162" s="139"/>
      <c r="AC162"/>
      <c r="AD162"/>
      <c r="AE162" s="53"/>
      <c r="AF162" s="345"/>
      <c r="AG162" s="349"/>
      <c r="AH162" s="349"/>
      <c r="AI162" s="349"/>
    </row>
    <row r="163" spans="2:35" s="140" customFormat="1" ht="18.75">
      <c r="B163" s="201"/>
      <c r="F163" s="328"/>
      <c r="G163" s="328"/>
      <c r="H163" s="328"/>
      <c r="I163" s="328"/>
      <c r="J163" s="328"/>
      <c r="L163" s="285"/>
      <c r="Q163" s="139"/>
      <c r="R163" s="139"/>
      <c r="S163" s="139"/>
      <c r="T163" s="139"/>
      <c r="U163" s="139"/>
      <c r="V163" s="139"/>
      <c r="W163" s="139"/>
      <c r="X163" s="139"/>
      <c r="Y163" s="139"/>
      <c r="Z163" s="139"/>
      <c r="AC163"/>
      <c r="AD163"/>
      <c r="AE163" s="53"/>
      <c r="AF163" s="345"/>
      <c r="AG163" s="349"/>
      <c r="AH163" s="349"/>
      <c r="AI163" s="349"/>
    </row>
    <row r="164" spans="2:35" s="140" customFormat="1" ht="18.75">
      <c r="B164" s="201"/>
      <c r="F164" s="328"/>
      <c r="G164" s="328"/>
      <c r="H164" s="328"/>
      <c r="I164" s="328"/>
      <c r="J164" s="328"/>
      <c r="L164" s="285"/>
      <c r="AC164"/>
      <c r="AD164"/>
      <c r="AE164" s="53"/>
      <c r="AF164" s="345"/>
      <c r="AG164" s="349"/>
      <c r="AH164" s="349"/>
      <c r="AI164" s="349"/>
    </row>
    <row r="165" spans="2:35" s="140" customFormat="1" ht="18.75">
      <c r="B165" s="201"/>
      <c r="F165" s="328"/>
      <c r="G165" s="328"/>
      <c r="H165" s="328"/>
      <c r="I165" s="328"/>
      <c r="J165" s="328"/>
      <c r="L165" s="285"/>
      <c r="AC165"/>
      <c r="AD165"/>
      <c r="AE165" s="53"/>
      <c r="AF165" s="345"/>
      <c r="AG165" s="349"/>
      <c r="AH165" s="349"/>
      <c r="AI165" s="349"/>
    </row>
    <row r="166" spans="2:35" s="140" customFormat="1" ht="18.75">
      <c r="B166" s="201"/>
      <c r="F166" s="328"/>
      <c r="G166" s="328"/>
      <c r="H166" s="328"/>
      <c r="I166" s="328"/>
      <c r="J166" s="328"/>
      <c r="L166" s="285"/>
      <c r="AC166"/>
      <c r="AD166"/>
      <c r="AE166" s="53"/>
      <c r="AF166" s="345"/>
      <c r="AG166" s="349"/>
      <c r="AH166" s="349"/>
      <c r="AI166" s="349"/>
    </row>
    <row r="167" spans="2:35" s="140" customFormat="1" ht="18.75">
      <c r="B167" s="201"/>
      <c r="F167" s="328"/>
      <c r="G167" s="328"/>
      <c r="H167" s="328"/>
      <c r="I167" s="328"/>
      <c r="J167" s="328"/>
      <c r="L167" s="285"/>
      <c r="AC167"/>
      <c r="AD167"/>
      <c r="AE167" s="53"/>
      <c r="AF167" s="345"/>
      <c r="AG167" s="349"/>
      <c r="AH167" s="349"/>
      <c r="AI167" s="349"/>
    </row>
    <row r="168" spans="2:35" s="140" customFormat="1" ht="18.75">
      <c r="B168" s="201"/>
      <c r="F168" s="328"/>
      <c r="G168" s="328"/>
      <c r="H168" s="328"/>
      <c r="I168" s="328"/>
      <c r="J168" s="328"/>
      <c r="L168" s="285"/>
      <c r="AC168"/>
      <c r="AD168"/>
      <c r="AE168" s="53"/>
      <c r="AF168" s="345"/>
      <c r="AG168" s="349"/>
      <c r="AH168" s="349"/>
      <c r="AI168" s="349"/>
    </row>
    <row r="169" spans="2:35" s="140" customFormat="1" ht="18.75">
      <c r="B169" s="201"/>
      <c r="F169" s="328"/>
      <c r="G169" s="328"/>
      <c r="H169" s="328"/>
      <c r="I169" s="328"/>
      <c r="J169" s="328"/>
      <c r="L169" s="285"/>
      <c r="AC169"/>
      <c r="AD169"/>
      <c r="AE169" s="53"/>
      <c r="AF169" s="345"/>
      <c r="AG169" s="349"/>
      <c r="AH169" s="349"/>
      <c r="AI169" s="349"/>
    </row>
    <row r="170" spans="2:35" s="140" customFormat="1" ht="18.75">
      <c r="B170" s="201"/>
      <c r="F170" s="328"/>
      <c r="G170" s="328"/>
      <c r="H170" s="328"/>
      <c r="I170" s="328"/>
      <c r="J170" s="328"/>
      <c r="L170" s="285"/>
      <c r="AC170"/>
      <c r="AD170"/>
      <c r="AE170" s="53"/>
      <c r="AF170" s="345"/>
      <c r="AG170" s="349"/>
      <c r="AH170" s="349"/>
      <c r="AI170" s="349"/>
    </row>
    <row r="171" spans="2:35" s="140" customFormat="1" ht="18.75">
      <c r="B171" s="201"/>
      <c r="F171" s="328"/>
      <c r="G171" s="328"/>
      <c r="H171" s="328"/>
      <c r="I171" s="328"/>
      <c r="J171" s="328"/>
      <c r="L171" s="285"/>
      <c r="AC171"/>
      <c r="AD171"/>
      <c r="AE171" s="53"/>
      <c r="AF171" s="345"/>
      <c r="AG171" s="349"/>
      <c r="AH171" s="349"/>
      <c r="AI171" s="349"/>
    </row>
    <row r="172" spans="2:35" s="140" customFormat="1" ht="18.75">
      <c r="B172" s="201"/>
      <c r="F172" s="328"/>
      <c r="G172" s="328"/>
      <c r="H172" s="328"/>
      <c r="I172" s="328"/>
      <c r="J172" s="328"/>
      <c r="L172" s="285"/>
      <c r="AC172"/>
      <c r="AD172"/>
      <c r="AE172" s="53"/>
      <c r="AF172" s="345"/>
      <c r="AG172" s="349"/>
      <c r="AH172" s="349"/>
      <c r="AI172" s="349"/>
    </row>
    <row r="173" spans="2:35" s="140" customFormat="1" ht="18.75">
      <c r="B173" s="201"/>
      <c r="F173" s="328"/>
      <c r="G173" s="328"/>
      <c r="H173" s="328"/>
      <c r="I173" s="328"/>
      <c r="J173" s="328"/>
      <c r="L173" s="285"/>
      <c r="AC173"/>
      <c r="AD173"/>
      <c r="AE173" s="53"/>
      <c r="AF173" s="345"/>
      <c r="AG173" s="349"/>
      <c r="AH173" s="349"/>
      <c r="AI173" s="349"/>
    </row>
    <row r="174" spans="2:35" s="140" customFormat="1" ht="18.75">
      <c r="B174" s="201"/>
      <c r="F174" s="328"/>
      <c r="G174" s="328"/>
      <c r="H174" s="328"/>
      <c r="I174" s="328"/>
      <c r="J174" s="328"/>
      <c r="L174" s="285"/>
      <c r="AC174"/>
      <c r="AD174"/>
      <c r="AE174" s="53"/>
      <c r="AF174" s="345"/>
      <c r="AG174" s="349"/>
      <c r="AH174" s="349"/>
      <c r="AI174" s="349"/>
    </row>
    <row r="175" spans="2:35" s="140" customFormat="1" ht="18.75">
      <c r="B175" s="201"/>
      <c r="F175" s="328"/>
      <c r="G175" s="328"/>
      <c r="H175" s="328"/>
      <c r="I175" s="328"/>
      <c r="J175" s="328"/>
      <c r="L175" s="285"/>
      <c r="AC175"/>
      <c r="AD175"/>
      <c r="AE175" s="53"/>
      <c r="AF175" s="345"/>
      <c r="AG175" s="349"/>
      <c r="AH175" s="349"/>
      <c r="AI175" s="349"/>
    </row>
    <row r="176" spans="2:35" s="140" customFormat="1" ht="18.75">
      <c r="B176" s="201"/>
      <c r="F176" s="328"/>
      <c r="G176" s="328"/>
      <c r="H176" s="328"/>
      <c r="I176" s="328"/>
      <c r="J176" s="328"/>
      <c r="L176" s="285"/>
      <c r="AC176"/>
      <c r="AD176"/>
      <c r="AE176" s="53"/>
      <c r="AF176" s="345"/>
      <c r="AG176" s="349"/>
      <c r="AH176" s="349"/>
      <c r="AI176" s="349"/>
    </row>
    <row r="177" spans="2:35" s="140" customFormat="1" ht="18.75">
      <c r="B177" s="201"/>
      <c r="F177" s="328"/>
      <c r="G177" s="328"/>
      <c r="H177" s="328"/>
      <c r="I177" s="328"/>
      <c r="J177" s="328"/>
      <c r="L177" s="285"/>
      <c r="AC177"/>
      <c r="AD177"/>
      <c r="AE177" s="53"/>
      <c r="AF177" s="345"/>
      <c r="AG177" s="349"/>
      <c r="AH177" s="349"/>
      <c r="AI177" s="349"/>
    </row>
    <row r="178" spans="2:35" s="140" customFormat="1" ht="18.75">
      <c r="B178" s="201"/>
      <c r="F178" s="328"/>
      <c r="G178" s="328"/>
      <c r="H178" s="328"/>
      <c r="I178" s="328"/>
      <c r="J178" s="328"/>
      <c r="L178" s="285"/>
      <c r="AC178"/>
      <c r="AD178"/>
      <c r="AE178" s="53"/>
      <c r="AF178" s="345"/>
      <c r="AG178" s="349"/>
      <c r="AH178" s="349"/>
      <c r="AI178" s="349"/>
    </row>
    <row r="179" spans="2:35" s="140" customFormat="1" ht="18.75">
      <c r="B179" s="201"/>
      <c r="F179" s="328"/>
      <c r="G179" s="328"/>
      <c r="H179" s="328"/>
      <c r="I179" s="328"/>
      <c r="J179" s="328"/>
      <c r="L179" s="285"/>
      <c r="AC179"/>
      <c r="AD179"/>
      <c r="AE179" s="53"/>
      <c r="AF179" s="345"/>
      <c r="AG179" s="349"/>
      <c r="AH179" s="349"/>
      <c r="AI179" s="349"/>
    </row>
    <row r="180" spans="2:35" s="140" customFormat="1" ht="18.75">
      <c r="B180" s="201"/>
      <c r="F180" s="328"/>
      <c r="G180" s="328"/>
      <c r="H180" s="328"/>
      <c r="I180" s="328"/>
      <c r="J180" s="328"/>
      <c r="L180" s="285"/>
      <c r="AC180"/>
      <c r="AD180"/>
      <c r="AE180" s="53"/>
      <c r="AF180" s="345"/>
      <c r="AG180" s="349"/>
      <c r="AH180" s="349"/>
      <c r="AI180" s="349"/>
    </row>
    <row r="181" spans="2:35" s="140" customFormat="1" ht="18.75">
      <c r="B181" s="201"/>
      <c r="F181" s="328"/>
      <c r="G181" s="328"/>
      <c r="H181" s="328"/>
      <c r="I181" s="328"/>
      <c r="J181" s="328"/>
      <c r="L181" s="285"/>
      <c r="AC181"/>
      <c r="AD181"/>
      <c r="AE181" s="53"/>
      <c r="AF181" s="345"/>
      <c r="AG181" s="349"/>
      <c r="AH181" s="349"/>
      <c r="AI181" s="349"/>
    </row>
    <row r="182" spans="2:35" s="140" customFormat="1" ht="18.75">
      <c r="B182" s="201"/>
      <c r="F182" s="328"/>
      <c r="G182" s="328"/>
      <c r="H182" s="328"/>
      <c r="I182" s="328"/>
      <c r="J182" s="328"/>
      <c r="L182" s="285"/>
      <c r="AC182"/>
      <c r="AD182"/>
      <c r="AE182" s="53"/>
      <c r="AF182" s="345"/>
      <c r="AG182" s="349"/>
      <c r="AH182" s="349"/>
      <c r="AI182" s="349"/>
    </row>
    <row r="183" spans="2:35" s="140" customFormat="1" ht="18.75">
      <c r="B183" s="201"/>
      <c r="F183" s="328"/>
      <c r="G183" s="328"/>
      <c r="H183" s="328"/>
      <c r="I183" s="328"/>
      <c r="J183" s="328"/>
      <c r="L183" s="285"/>
      <c r="AC183"/>
      <c r="AD183"/>
      <c r="AE183" s="53"/>
      <c r="AF183" s="345"/>
      <c r="AG183" s="349"/>
      <c r="AH183" s="349"/>
      <c r="AI183" s="349"/>
    </row>
    <row r="184" spans="2:35" s="140" customFormat="1" ht="18.75">
      <c r="B184" s="201"/>
      <c r="F184" s="328"/>
      <c r="G184" s="328"/>
      <c r="H184" s="328"/>
      <c r="I184" s="328"/>
      <c r="J184" s="328"/>
      <c r="L184" s="285"/>
      <c r="AC184"/>
      <c r="AD184"/>
      <c r="AE184" s="53"/>
      <c r="AF184" s="345"/>
      <c r="AG184" s="349"/>
      <c r="AH184" s="349"/>
      <c r="AI184" s="349"/>
    </row>
    <row r="185" spans="2:35" s="140" customFormat="1" ht="18.75">
      <c r="B185" s="201"/>
      <c r="F185" s="328"/>
      <c r="G185" s="328"/>
      <c r="H185" s="328"/>
      <c r="I185" s="328"/>
      <c r="J185" s="328"/>
      <c r="L185" s="285"/>
      <c r="AC185"/>
      <c r="AD185"/>
      <c r="AE185" s="53"/>
      <c r="AF185" s="345"/>
      <c r="AG185" s="349"/>
      <c r="AH185" s="349"/>
      <c r="AI185" s="349"/>
    </row>
    <row r="186" spans="2:35" s="140" customFormat="1" ht="18.75">
      <c r="B186" s="201"/>
      <c r="F186" s="328"/>
      <c r="G186" s="328"/>
      <c r="H186" s="328"/>
      <c r="I186" s="328"/>
      <c r="J186" s="328"/>
      <c r="L186" s="285"/>
      <c r="AC186"/>
      <c r="AD186"/>
      <c r="AE186" s="53"/>
      <c r="AF186" s="345"/>
      <c r="AG186" s="349"/>
      <c r="AH186" s="349"/>
      <c r="AI186" s="349"/>
    </row>
    <row r="187" spans="2:35" s="140" customFormat="1" ht="18.75">
      <c r="B187" s="201"/>
      <c r="F187" s="328"/>
      <c r="G187" s="328"/>
      <c r="H187" s="328"/>
      <c r="I187" s="328"/>
      <c r="J187" s="328"/>
      <c r="L187" s="285"/>
      <c r="AC187"/>
      <c r="AD187"/>
      <c r="AE187" s="53"/>
      <c r="AF187" s="345"/>
      <c r="AG187" s="349"/>
      <c r="AH187" s="349"/>
      <c r="AI187" s="349"/>
    </row>
    <row r="188" spans="2:35" s="140" customFormat="1" ht="18.75">
      <c r="B188" s="201"/>
      <c r="F188" s="328"/>
      <c r="G188" s="328"/>
      <c r="H188" s="328"/>
      <c r="I188" s="328"/>
      <c r="J188" s="328"/>
      <c r="L188" s="285"/>
      <c r="AC188"/>
      <c r="AD188"/>
      <c r="AE188" s="53"/>
      <c r="AF188" s="345"/>
      <c r="AG188" s="349"/>
      <c r="AH188" s="349"/>
      <c r="AI188" s="349"/>
    </row>
    <row r="189" spans="2:35" s="140" customFormat="1" ht="18.75">
      <c r="B189" s="201"/>
      <c r="F189" s="328"/>
      <c r="G189" s="328"/>
      <c r="H189" s="328"/>
      <c r="I189" s="328"/>
      <c r="J189" s="328"/>
      <c r="L189" s="285"/>
      <c r="AC189"/>
      <c r="AD189"/>
      <c r="AE189" s="53"/>
      <c r="AF189" s="345"/>
      <c r="AG189" s="349"/>
      <c r="AH189" s="349"/>
      <c r="AI189" s="349"/>
    </row>
    <row r="190" spans="2:35" s="140" customFormat="1" ht="18.75">
      <c r="B190" s="201"/>
      <c r="F190" s="328"/>
      <c r="G190" s="328"/>
      <c r="H190" s="328"/>
      <c r="I190" s="328"/>
      <c r="J190" s="328"/>
      <c r="L190" s="285"/>
      <c r="AC190"/>
      <c r="AD190"/>
      <c r="AE190" s="53"/>
      <c r="AF190" s="345"/>
      <c r="AG190" s="349"/>
      <c r="AH190" s="349"/>
      <c r="AI190" s="349"/>
    </row>
    <row r="191" spans="2:35" s="140" customFormat="1" ht="18.75">
      <c r="B191" s="201"/>
      <c r="F191" s="328"/>
      <c r="G191" s="328"/>
      <c r="H191" s="328"/>
      <c r="I191" s="328"/>
      <c r="J191" s="328"/>
      <c r="L191" s="285"/>
      <c r="AC191"/>
      <c r="AD191"/>
      <c r="AE191" s="53"/>
      <c r="AF191" s="345"/>
      <c r="AG191" s="349"/>
      <c r="AH191" s="349"/>
      <c r="AI191" s="349"/>
    </row>
    <row r="192" spans="2:35" s="140" customFormat="1" ht="18.75">
      <c r="B192" s="201"/>
      <c r="F192" s="328"/>
      <c r="G192" s="328"/>
      <c r="H192" s="328"/>
      <c r="I192" s="328"/>
      <c r="J192" s="328"/>
      <c r="L192" s="285"/>
      <c r="AC192"/>
      <c r="AD192"/>
      <c r="AE192" s="53"/>
      <c r="AF192" s="345"/>
      <c r="AG192" s="349"/>
      <c r="AH192" s="349"/>
      <c r="AI192" s="349"/>
    </row>
    <row r="193" spans="2:35" s="140" customFormat="1" ht="18.75">
      <c r="B193" s="201"/>
      <c r="F193" s="328"/>
      <c r="G193" s="328"/>
      <c r="H193" s="328"/>
      <c r="I193" s="328"/>
      <c r="J193" s="328"/>
      <c r="L193" s="285"/>
      <c r="AC193"/>
      <c r="AD193"/>
      <c r="AE193" s="53"/>
      <c r="AF193" s="345"/>
      <c r="AG193" s="349"/>
      <c r="AH193" s="349"/>
      <c r="AI193" s="349"/>
    </row>
    <row r="194" spans="2:35" s="140" customFormat="1" ht="18.75">
      <c r="B194" s="201"/>
      <c r="F194" s="328"/>
      <c r="G194" s="328"/>
      <c r="H194" s="328"/>
      <c r="I194" s="328"/>
      <c r="J194" s="328"/>
      <c r="L194" s="285"/>
      <c r="AC194"/>
      <c r="AD194"/>
      <c r="AE194" s="53"/>
      <c r="AF194" s="345"/>
      <c r="AG194" s="349"/>
      <c r="AH194" s="349"/>
      <c r="AI194" s="349"/>
    </row>
    <row r="195" spans="2:35" s="140" customFormat="1" ht="18.75">
      <c r="B195" s="201"/>
      <c r="F195" s="328"/>
      <c r="G195" s="328"/>
      <c r="H195" s="328"/>
      <c r="I195" s="328"/>
      <c r="J195" s="328"/>
      <c r="L195" s="285"/>
      <c r="AC195"/>
      <c r="AD195"/>
      <c r="AE195" s="53"/>
      <c r="AF195" s="345"/>
      <c r="AG195" s="349"/>
      <c r="AH195" s="349"/>
      <c r="AI195" s="349"/>
    </row>
    <row r="196" spans="2:35" s="140" customFormat="1" ht="18.75">
      <c r="B196" s="201"/>
      <c r="F196" s="328"/>
      <c r="G196" s="328"/>
      <c r="H196" s="328"/>
      <c r="I196" s="328"/>
      <c r="J196" s="328"/>
      <c r="L196" s="285"/>
      <c r="AC196"/>
      <c r="AD196"/>
      <c r="AE196" s="53"/>
      <c r="AF196" s="345"/>
      <c r="AG196" s="349"/>
      <c r="AH196" s="349"/>
      <c r="AI196" s="349"/>
    </row>
    <row r="197" spans="2:35" s="140" customFormat="1" ht="18.75">
      <c r="B197" s="201"/>
      <c r="F197" s="328"/>
      <c r="G197" s="328"/>
      <c r="H197" s="328"/>
      <c r="I197" s="328"/>
      <c r="J197" s="328"/>
      <c r="L197" s="285"/>
      <c r="AC197"/>
      <c r="AD197"/>
      <c r="AE197" s="53"/>
      <c r="AF197" s="345"/>
      <c r="AG197" s="349"/>
      <c r="AH197" s="349"/>
      <c r="AI197" s="349"/>
    </row>
    <row r="198" spans="2:35" s="140" customFormat="1" ht="18.75">
      <c r="B198" s="201"/>
      <c r="F198" s="328"/>
      <c r="G198" s="328"/>
      <c r="H198" s="328"/>
      <c r="I198" s="328"/>
      <c r="J198" s="328"/>
      <c r="L198" s="285"/>
      <c r="AC198"/>
      <c r="AD198"/>
      <c r="AE198" s="53"/>
      <c r="AF198" s="345"/>
      <c r="AG198" s="349"/>
      <c r="AH198" s="349"/>
      <c r="AI198" s="349"/>
    </row>
    <row r="199" spans="2:35" s="140" customFormat="1" ht="18.75">
      <c r="B199" s="201"/>
      <c r="F199" s="328"/>
      <c r="G199" s="328"/>
      <c r="H199" s="328"/>
      <c r="I199" s="328"/>
      <c r="J199" s="328"/>
      <c r="L199" s="285"/>
      <c r="AC199"/>
      <c r="AD199"/>
      <c r="AE199" s="53"/>
      <c r="AF199" s="345"/>
      <c r="AG199" s="349"/>
      <c r="AH199" s="349"/>
      <c r="AI199" s="349"/>
    </row>
    <row r="200" spans="2:35" s="140" customFormat="1" ht="18.75">
      <c r="B200" s="201"/>
      <c r="F200" s="328"/>
      <c r="G200" s="328"/>
      <c r="H200" s="328"/>
      <c r="I200" s="328"/>
      <c r="J200" s="328"/>
      <c r="L200" s="285"/>
      <c r="AC200"/>
      <c r="AD200"/>
      <c r="AE200" s="53"/>
      <c r="AF200" s="345"/>
      <c r="AG200" s="349"/>
      <c r="AH200" s="349"/>
      <c r="AI200" s="349"/>
    </row>
    <row r="201" spans="2:35" s="140" customFormat="1" ht="18.75">
      <c r="B201" s="201"/>
      <c r="F201" s="328"/>
      <c r="G201" s="328"/>
      <c r="H201" s="328"/>
      <c r="I201" s="328"/>
      <c r="J201" s="328"/>
      <c r="L201" s="285"/>
      <c r="AC201"/>
      <c r="AD201"/>
      <c r="AE201" s="53"/>
      <c r="AF201" s="345"/>
      <c r="AG201" s="349"/>
      <c r="AH201" s="349"/>
      <c r="AI201" s="349"/>
    </row>
    <row r="202" spans="2:35" s="140" customFormat="1" ht="18.75">
      <c r="B202" s="201"/>
      <c r="F202" s="328"/>
      <c r="G202" s="328"/>
      <c r="H202" s="328"/>
      <c r="I202" s="328"/>
      <c r="J202" s="328"/>
      <c r="L202" s="285"/>
      <c r="AC202"/>
      <c r="AD202"/>
      <c r="AE202" s="53"/>
      <c r="AF202" s="345"/>
      <c r="AG202" s="349"/>
      <c r="AH202" s="349"/>
      <c r="AI202" s="349"/>
    </row>
    <row r="203" spans="2:35" s="140" customFormat="1" ht="18.75">
      <c r="B203" s="201"/>
      <c r="F203" s="328"/>
      <c r="G203" s="328"/>
      <c r="H203" s="328"/>
      <c r="I203" s="328"/>
      <c r="J203" s="328"/>
      <c r="L203" s="285"/>
      <c r="AC203"/>
      <c r="AD203"/>
      <c r="AE203" s="53"/>
      <c r="AF203" s="345"/>
      <c r="AG203" s="349"/>
      <c r="AH203" s="349"/>
      <c r="AI203" s="349"/>
    </row>
    <row r="204" spans="2:35" s="140" customFormat="1" ht="18.75">
      <c r="B204" s="201"/>
      <c r="F204" s="328"/>
      <c r="G204" s="328"/>
      <c r="H204" s="328"/>
      <c r="I204" s="328"/>
      <c r="J204" s="328"/>
      <c r="L204" s="285"/>
      <c r="AC204"/>
      <c r="AD204"/>
      <c r="AE204" s="53"/>
      <c r="AF204" s="345"/>
      <c r="AG204" s="349"/>
      <c r="AH204" s="349"/>
      <c r="AI204" s="349"/>
    </row>
    <row r="205" spans="2:35" s="140" customFormat="1" ht="18.75">
      <c r="B205" s="201"/>
      <c r="F205" s="328"/>
      <c r="G205" s="328"/>
      <c r="H205" s="328"/>
      <c r="I205" s="328"/>
      <c r="J205" s="328"/>
      <c r="L205" s="285"/>
      <c r="AC205"/>
      <c r="AD205"/>
      <c r="AE205" s="53"/>
      <c r="AF205" s="345"/>
      <c r="AG205" s="349"/>
      <c r="AH205" s="349"/>
      <c r="AI205" s="349"/>
    </row>
    <row r="206" spans="2:35" s="140" customFormat="1" ht="18.75">
      <c r="B206" s="201"/>
      <c r="F206" s="328"/>
      <c r="G206" s="328"/>
      <c r="H206" s="328"/>
      <c r="I206" s="328"/>
      <c r="J206" s="328"/>
      <c r="L206" s="285"/>
      <c r="AC206"/>
      <c r="AD206"/>
      <c r="AE206" s="53"/>
      <c r="AF206" s="345"/>
      <c r="AG206" s="349"/>
      <c r="AH206" s="349"/>
      <c r="AI206" s="349"/>
    </row>
    <row r="207" spans="2:35" s="140" customFormat="1" ht="18.75">
      <c r="B207" s="201"/>
      <c r="F207" s="328"/>
      <c r="G207" s="328"/>
      <c r="H207" s="328"/>
      <c r="I207" s="328"/>
      <c r="J207" s="328"/>
      <c r="L207" s="285"/>
      <c r="AC207"/>
      <c r="AD207"/>
      <c r="AE207" s="53"/>
      <c r="AF207" s="345"/>
      <c r="AG207" s="349"/>
      <c r="AH207" s="349"/>
      <c r="AI207" s="349"/>
    </row>
    <row r="208" spans="2:35" s="140" customFormat="1" ht="18.75">
      <c r="B208" s="201"/>
      <c r="F208" s="328"/>
      <c r="G208" s="328"/>
      <c r="H208" s="328"/>
      <c r="I208" s="328"/>
      <c r="J208" s="328"/>
      <c r="L208" s="285"/>
      <c r="AC208"/>
      <c r="AD208"/>
      <c r="AE208" s="53"/>
      <c r="AF208" s="345"/>
      <c r="AG208" s="349"/>
      <c r="AH208" s="349"/>
      <c r="AI208" s="349"/>
    </row>
    <row r="209" spans="2:35" s="140" customFormat="1" ht="18.75">
      <c r="B209" s="201"/>
      <c r="F209" s="328"/>
      <c r="G209" s="328"/>
      <c r="H209" s="328"/>
      <c r="I209" s="328"/>
      <c r="J209" s="328"/>
      <c r="L209" s="285"/>
      <c r="AC209"/>
      <c r="AD209"/>
      <c r="AE209" s="53"/>
      <c r="AF209" s="345"/>
      <c r="AG209" s="349"/>
      <c r="AH209" s="349"/>
      <c r="AI209" s="349"/>
    </row>
    <row r="210" spans="2:35" s="140" customFormat="1" ht="18.75">
      <c r="B210" s="201"/>
      <c r="F210" s="328"/>
      <c r="G210" s="328"/>
      <c r="H210" s="328"/>
      <c r="I210" s="328"/>
      <c r="J210" s="328"/>
      <c r="L210" s="285"/>
      <c r="AC210"/>
      <c r="AD210"/>
      <c r="AE210" s="53"/>
      <c r="AF210" s="345"/>
      <c r="AG210" s="349"/>
      <c r="AH210" s="349"/>
      <c r="AI210" s="349"/>
    </row>
    <row r="211" spans="2:35" s="140" customFormat="1" ht="18.75">
      <c r="B211" s="201"/>
      <c r="F211" s="328"/>
      <c r="G211" s="328"/>
      <c r="H211" s="328"/>
      <c r="I211" s="328"/>
      <c r="J211" s="328"/>
      <c r="L211" s="285"/>
      <c r="AC211"/>
      <c r="AD211"/>
      <c r="AE211" s="53"/>
      <c r="AF211" s="345"/>
      <c r="AG211" s="349"/>
      <c r="AH211" s="349"/>
      <c r="AI211" s="349"/>
    </row>
    <row r="212" spans="2:35" s="140" customFormat="1" ht="18.75">
      <c r="B212" s="201"/>
      <c r="F212" s="328"/>
      <c r="G212" s="328"/>
      <c r="H212" s="328"/>
      <c r="I212" s="328"/>
      <c r="J212" s="328"/>
      <c r="L212" s="285"/>
      <c r="AC212"/>
      <c r="AD212"/>
      <c r="AE212" s="53"/>
      <c r="AF212" s="345"/>
      <c r="AG212" s="349"/>
      <c r="AH212" s="349"/>
      <c r="AI212" s="349"/>
    </row>
    <row r="213" spans="2:35" s="140" customFormat="1" ht="18.75">
      <c r="B213" s="201"/>
      <c r="F213" s="328"/>
      <c r="G213" s="328"/>
      <c r="H213" s="328"/>
      <c r="I213" s="328"/>
      <c r="J213" s="328"/>
      <c r="L213" s="285"/>
      <c r="AC213"/>
      <c r="AD213"/>
      <c r="AE213" s="53"/>
      <c r="AF213" s="345"/>
      <c r="AG213" s="349"/>
      <c r="AH213" s="349"/>
      <c r="AI213" s="349"/>
    </row>
    <row r="214" spans="2:35" s="140" customFormat="1" ht="18.75">
      <c r="B214" s="201"/>
      <c r="F214" s="328"/>
      <c r="G214" s="328"/>
      <c r="H214" s="328"/>
      <c r="I214" s="328"/>
      <c r="J214" s="328"/>
      <c r="L214" s="285"/>
      <c r="AC214"/>
      <c r="AD214"/>
      <c r="AE214" s="53"/>
      <c r="AF214" s="345"/>
      <c r="AG214" s="349"/>
      <c r="AH214" s="349"/>
      <c r="AI214" s="349"/>
    </row>
    <row r="215" spans="2:35" s="140" customFormat="1" ht="18.75">
      <c r="B215" s="201"/>
      <c r="F215" s="328"/>
      <c r="G215" s="328"/>
      <c r="H215" s="328"/>
      <c r="I215" s="328"/>
      <c r="J215" s="328"/>
      <c r="L215" s="285"/>
      <c r="AC215"/>
      <c r="AD215"/>
      <c r="AE215" s="53"/>
      <c r="AF215" s="345"/>
      <c r="AG215" s="349"/>
      <c r="AH215" s="349"/>
      <c r="AI215" s="349"/>
    </row>
    <row r="216" spans="2:35" s="140" customFormat="1" ht="18.75">
      <c r="B216" s="201"/>
      <c r="F216" s="328"/>
      <c r="G216" s="328"/>
      <c r="H216" s="328"/>
      <c r="I216" s="328"/>
      <c r="J216" s="328"/>
      <c r="L216" s="285"/>
      <c r="AC216"/>
      <c r="AD216"/>
      <c r="AE216" s="53"/>
      <c r="AF216" s="345"/>
      <c r="AG216" s="349"/>
      <c r="AH216" s="349"/>
      <c r="AI216" s="349"/>
    </row>
    <row r="217" spans="2:35" s="140" customFormat="1" ht="18.75">
      <c r="B217" s="201"/>
      <c r="F217" s="328"/>
      <c r="G217" s="328"/>
      <c r="H217" s="328"/>
      <c r="I217" s="328"/>
      <c r="J217" s="328"/>
      <c r="L217" s="285"/>
      <c r="AC217"/>
      <c r="AD217"/>
      <c r="AE217" s="53"/>
      <c r="AF217" s="345"/>
      <c r="AG217" s="349"/>
      <c r="AH217" s="349"/>
      <c r="AI217" s="349"/>
    </row>
    <row r="218" spans="2:35" s="140" customFormat="1" ht="18.75">
      <c r="B218" s="201"/>
      <c r="F218" s="328"/>
      <c r="G218" s="328"/>
      <c r="H218" s="328"/>
      <c r="I218" s="328"/>
      <c r="J218" s="328"/>
      <c r="L218" s="285"/>
      <c r="AC218"/>
      <c r="AD218"/>
      <c r="AE218" s="53"/>
      <c r="AF218" s="345"/>
      <c r="AG218" s="349"/>
      <c r="AH218" s="349"/>
      <c r="AI218" s="349"/>
    </row>
    <row r="219" spans="2:35" s="140" customFormat="1" ht="18.75">
      <c r="B219" s="201"/>
      <c r="F219" s="328"/>
      <c r="G219" s="328"/>
      <c r="H219" s="328"/>
      <c r="I219" s="328"/>
      <c r="J219" s="328"/>
      <c r="L219" s="285"/>
      <c r="AC219"/>
      <c r="AD219"/>
      <c r="AE219" s="53"/>
      <c r="AF219" s="345"/>
      <c r="AG219" s="349"/>
      <c r="AH219" s="349"/>
      <c r="AI219" s="349"/>
    </row>
    <row r="220" spans="2:35" s="140" customFormat="1" ht="18.75">
      <c r="B220" s="201"/>
      <c r="F220" s="328"/>
      <c r="G220" s="328"/>
      <c r="H220" s="328"/>
      <c r="I220" s="328"/>
      <c r="J220" s="328"/>
      <c r="L220" s="285"/>
      <c r="AC220"/>
      <c r="AD220"/>
      <c r="AE220" s="53"/>
      <c r="AF220" s="345"/>
      <c r="AG220" s="349"/>
      <c r="AH220" s="349"/>
      <c r="AI220" s="349"/>
    </row>
    <row r="221" spans="2:35" s="140" customFormat="1" ht="18.75">
      <c r="B221" s="201"/>
      <c r="F221" s="328"/>
      <c r="G221" s="328"/>
      <c r="H221" s="328"/>
      <c r="I221" s="328"/>
      <c r="J221" s="328"/>
      <c r="L221" s="285"/>
      <c r="AC221"/>
      <c r="AD221"/>
      <c r="AE221" s="53"/>
      <c r="AF221" s="345"/>
      <c r="AG221" s="349"/>
      <c r="AH221" s="349"/>
      <c r="AI221" s="349"/>
    </row>
    <row r="222" spans="2:35" s="140" customFormat="1" ht="18.75">
      <c r="B222" s="201"/>
      <c r="F222" s="328"/>
      <c r="G222" s="328"/>
      <c r="H222" s="328"/>
      <c r="I222" s="328"/>
      <c r="J222" s="328"/>
      <c r="L222" s="285"/>
      <c r="AC222"/>
      <c r="AD222"/>
      <c r="AE222" s="53"/>
      <c r="AF222" s="345"/>
      <c r="AG222" s="349"/>
      <c r="AH222" s="349"/>
      <c r="AI222" s="349"/>
    </row>
    <row r="223" spans="2:35" s="140" customFormat="1" ht="18.75">
      <c r="B223" s="201"/>
      <c r="F223" s="328"/>
      <c r="G223" s="328"/>
      <c r="H223" s="328"/>
      <c r="I223" s="328"/>
      <c r="J223" s="328"/>
      <c r="L223" s="285"/>
      <c r="AC223"/>
      <c r="AD223"/>
      <c r="AE223" s="53"/>
      <c r="AF223" s="345"/>
      <c r="AG223" s="349"/>
      <c r="AH223" s="349"/>
      <c r="AI223" s="349"/>
    </row>
    <row r="224" spans="2:35" s="140" customFormat="1" ht="18.75">
      <c r="B224" s="201"/>
      <c r="F224" s="328"/>
      <c r="G224" s="328"/>
      <c r="H224" s="328"/>
      <c r="I224" s="328"/>
      <c r="J224" s="328"/>
      <c r="L224" s="285"/>
      <c r="AC224"/>
      <c r="AD224"/>
      <c r="AE224" s="53"/>
      <c r="AF224" s="345"/>
      <c r="AG224" s="349"/>
      <c r="AH224" s="349"/>
      <c r="AI224" s="349"/>
    </row>
    <row r="225" spans="2:35" s="140" customFormat="1" ht="18.75">
      <c r="B225" s="201"/>
      <c r="F225" s="328"/>
      <c r="G225" s="328"/>
      <c r="H225" s="328"/>
      <c r="I225" s="328"/>
      <c r="J225" s="328"/>
      <c r="L225" s="285"/>
      <c r="AC225"/>
      <c r="AD225"/>
      <c r="AE225" s="53"/>
      <c r="AF225" s="345"/>
      <c r="AG225" s="349"/>
      <c r="AH225" s="349"/>
      <c r="AI225" s="349"/>
    </row>
    <row r="226" spans="2:35" s="140" customFormat="1" ht="18.75">
      <c r="B226" s="201"/>
      <c r="F226" s="328"/>
      <c r="G226" s="328"/>
      <c r="H226" s="328"/>
      <c r="I226" s="328"/>
      <c r="J226" s="328"/>
      <c r="L226" s="285"/>
      <c r="AC226"/>
      <c r="AD226"/>
      <c r="AE226" s="53"/>
      <c r="AF226" s="345"/>
      <c r="AG226" s="349"/>
      <c r="AH226" s="349"/>
      <c r="AI226" s="349"/>
    </row>
    <row r="227" spans="2:35" s="140" customFormat="1" ht="18.75">
      <c r="B227" s="201"/>
      <c r="F227" s="328"/>
      <c r="G227" s="328"/>
      <c r="H227" s="328"/>
      <c r="I227" s="328"/>
      <c r="J227" s="328"/>
      <c r="L227" s="285"/>
      <c r="AC227"/>
      <c r="AD227"/>
      <c r="AE227" s="53"/>
      <c r="AF227" s="345"/>
      <c r="AG227" s="349"/>
      <c r="AH227" s="349"/>
      <c r="AI227" s="349"/>
    </row>
    <row r="228" spans="2:35" s="140" customFormat="1" ht="18.75">
      <c r="B228" s="201"/>
      <c r="F228" s="328"/>
      <c r="G228" s="328"/>
      <c r="H228" s="328"/>
      <c r="I228" s="328"/>
      <c r="J228" s="328"/>
      <c r="L228" s="285"/>
      <c r="AC228"/>
      <c r="AD228"/>
      <c r="AE228" s="53"/>
      <c r="AF228" s="345"/>
      <c r="AG228" s="349"/>
      <c r="AH228" s="349"/>
      <c r="AI228" s="349"/>
    </row>
    <row r="229" spans="2:35" s="140" customFormat="1" ht="18.75">
      <c r="B229" s="201"/>
      <c r="F229" s="328"/>
      <c r="G229" s="328"/>
      <c r="H229" s="328"/>
      <c r="I229" s="328"/>
      <c r="J229" s="328"/>
      <c r="L229" s="285"/>
      <c r="AC229"/>
      <c r="AD229"/>
      <c r="AE229" s="53"/>
      <c r="AF229" s="345"/>
      <c r="AG229" s="349"/>
      <c r="AH229" s="349"/>
      <c r="AI229" s="349"/>
    </row>
    <row r="230" spans="2:35" s="140" customFormat="1" ht="18.75">
      <c r="B230" s="201"/>
      <c r="F230" s="328"/>
      <c r="G230" s="328"/>
      <c r="H230" s="328"/>
      <c r="I230" s="328"/>
      <c r="J230" s="328"/>
      <c r="L230" s="285"/>
      <c r="AC230"/>
      <c r="AD230"/>
      <c r="AE230" s="53"/>
      <c r="AF230" s="345"/>
      <c r="AG230" s="349"/>
      <c r="AH230" s="349"/>
      <c r="AI230" s="349"/>
    </row>
    <row r="231" spans="2:35" s="140" customFormat="1" ht="18.75">
      <c r="B231" s="201"/>
      <c r="F231" s="328"/>
      <c r="G231" s="328"/>
      <c r="H231" s="328"/>
      <c r="I231" s="328"/>
      <c r="J231" s="328"/>
      <c r="L231" s="285"/>
      <c r="AC231"/>
      <c r="AD231"/>
      <c r="AE231" s="53"/>
      <c r="AF231" s="345"/>
      <c r="AG231" s="349"/>
      <c r="AH231" s="349"/>
      <c r="AI231" s="349"/>
    </row>
    <row r="232" spans="2:35" s="140" customFormat="1" ht="18.75">
      <c r="B232" s="201"/>
      <c r="F232" s="328"/>
      <c r="G232" s="328"/>
      <c r="H232" s="328"/>
      <c r="I232" s="328"/>
      <c r="J232" s="328"/>
      <c r="L232" s="285"/>
      <c r="AC232"/>
      <c r="AD232"/>
      <c r="AE232" s="53"/>
      <c r="AF232" s="345"/>
      <c r="AG232" s="349"/>
      <c r="AH232" s="349"/>
      <c r="AI232" s="349"/>
    </row>
    <row r="233" spans="2:35" s="140" customFormat="1" ht="18.75">
      <c r="B233" s="201"/>
      <c r="F233" s="328"/>
      <c r="G233" s="328"/>
      <c r="H233" s="328"/>
      <c r="I233" s="328"/>
      <c r="J233" s="328"/>
      <c r="L233" s="285"/>
      <c r="AC233"/>
      <c r="AD233"/>
      <c r="AE233" s="53"/>
      <c r="AF233" s="345"/>
      <c r="AG233" s="349"/>
      <c r="AH233" s="349"/>
      <c r="AI233" s="349"/>
    </row>
    <row r="234" spans="2:35" s="140" customFormat="1" ht="18.75">
      <c r="B234" s="201"/>
      <c r="F234" s="328"/>
      <c r="G234" s="328"/>
      <c r="H234" s="328"/>
      <c r="I234" s="328"/>
      <c r="J234" s="328"/>
      <c r="L234" s="285"/>
      <c r="AC234"/>
      <c r="AD234"/>
      <c r="AE234" s="53"/>
      <c r="AF234" s="345"/>
      <c r="AG234" s="349"/>
      <c r="AH234" s="349"/>
      <c r="AI234" s="349"/>
    </row>
    <row r="235" spans="2:35" s="140" customFormat="1" ht="18.75">
      <c r="B235" s="201"/>
      <c r="F235" s="328"/>
      <c r="G235" s="328"/>
      <c r="H235" s="328"/>
      <c r="I235" s="328"/>
      <c r="J235" s="328"/>
      <c r="L235" s="285"/>
      <c r="AC235"/>
      <c r="AD235"/>
      <c r="AE235" s="53"/>
      <c r="AF235" s="345"/>
      <c r="AG235" s="349"/>
      <c r="AH235" s="349"/>
      <c r="AI235" s="349"/>
    </row>
    <row r="236" spans="2:35" s="140" customFormat="1" ht="18.75">
      <c r="B236" s="201"/>
      <c r="F236" s="328"/>
      <c r="G236" s="328"/>
      <c r="H236" s="328"/>
      <c r="I236" s="328"/>
      <c r="J236" s="328"/>
      <c r="L236" s="285"/>
      <c r="AC236"/>
      <c r="AD236"/>
      <c r="AE236" s="53"/>
      <c r="AF236" s="345"/>
      <c r="AG236" s="349"/>
      <c r="AH236" s="349"/>
      <c r="AI236" s="349"/>
    </row>
    <row r="237" spans="2:35" s="140" customFormat="1" ht="18.75">
      <c r="B237" s="201"/>
      <c r="F237" s="328"/>
      <c r="G237" s="328"/>
      <c r="H237" s="328"/>
      <c r="I237" s="328"/>
      <c r="J237" s="328"/>
      <c r="L237" s="285"/>
      <c r="AC237"/>
      <c r="AD237"/>
      <c r="AE237" s="53"/>
      <c r="AF237" s="345"/>
      <c r="AG237" s="349"/>
      <c r="AH237" s="349"/>
      <c r="AI237" s="349"/>
    </row>
    <row r="238" spans="2:35" s="140" customFormat="1" ht="18.75">
      <c r="B238" s="201"/>
      <c r="F238" s="328"/>
      <c r="G238" s="328"/>
      <c r="H238" s="328"/>
      <c r="I238" s="328"/>
      <c r="J238" s="328"/>
      <c r="L238" s="285"/>
      <c r="AC238"/>
      <c r="AD238"/>
      <c r="AE238" s="53"/>
      <c r="AF238" s="345"/>
      <c r="AG238" s="349"/>
      <c r="AH238" s="349"/>
      <c r="AI238" s="349"/>
    </row>
    <row r="239" spans="2:35" s="140" customFormat="1" ht="18.75">
      <c r="B239" s="201"/>
      <c r="F239" s="328"/>
      <c r="G239" s="328"/>
      <c r="H239" s="328"/>
      <c r="I239" s="328"/>
      <c r="J239" s="328"/>
      <c r="L239" s="285"/>
      <c r="AC239"/>
      <c r="AD239"/>
      <c r="AE239" s="53"/>
      <c r="AF239" s="345"/>
      <c r="AG239" s="349"/>
      <c r="AH239" s="349"/>
      <c r="AI239" s="349"/>
    </row>
    <row r="240" spans="2:35" s="140" customFormat="1" ht="18.75">
      <c r="B240" s="201"/>
      <c r="F240" s="328"/>
      <c r="G240" s="328"/>
      <c r="H240" s="328"/>
      <c r="I240" s="328"/>
      <c r="J240" s="328"/>
      <c r="L240" s="285"/>
      <c r="AC240"/>
      <c r="AD240"/>
      <c r="AE240" s="53"/>
      <c r="AF240" s="345"/>
      <c r="AG240" s="349"/>
      <c r="AH240" s="349"/>
      <c r="AI240" s="349"/>
    </row>
    <row r="241" spans="2:35" s="140" customFormat="1" ht="18.75">
      <c r="B241" s="201"/>
      <c r="F241" s="328"/>
      <c r="G241" s="328"/>
      <c r="H241" s="328"/>
      <c r="I241" s="328"/>
      <c r="J241" s="328"/>
      <c r="L241" s="285"/>
      <c r="AC241"/>
      <c r="AD241"/>
      <c r="AE241" s="53"/>
      <c r="AF241" s="345"/>
      <c r="AG241" s="349"/>
      <c r="AH241" s="349"/>
      <c r="AI241" s="349"/>
    </row>
    <row r="242" spans="2:35" s="140" customFormat="1" ht="18.75">
      <c r="B242" s="201"/>
      <c r="F242" s="328"/>
      <c r="G242" s="328"/>
      <c r="H242" s="328"/>
      <c r="I242" s="328"/>
      <c r="J242" s="328"/>
      <c r="L242" s="285"/>
      <c r="AC242"/>
      <c r="AD242"/>
      <c r="AE242" s="53"/>
      <c r="AF242" s="345"/>
      <c r="AG242" s="349"/>
      <c r="AH242" s="349"/>
      <c r="AI242" s="349"/>
    </row>
    <row r="243" spans="2:35" s="140" customFormat="1" ht="18.75">
      <c r="B243" s="201"/>
      <c r="F243" s="328"/>
      <c r="G243" s="328"/>
      <c r="H243" s="328"/>
      <c r="I243" s="328"/>
      <c r="J243" s="328"/>
      <c r="L243" s="285"/>
      <c r="AC243"/>
      <c r="AD243"/>
      <c r="AE243" s="53"/>
      <c r="AF243" s="345"/>
      <c r="AG243" s="349"/>
      <c r="AH243" s="349"/>
      <c r="AI243" s="349"/>
    </row>
    <row r="244" spans="2:35" s="140" customFormat="1" ht="18.75">
      <c r="B244" s="201"/>
      <c r="F244" s="328"/>
      <c r="G244" s="328"/>
      <c r="H244" s="328"/>
      <c r="I244" s="328"/>
      <c r="J244" s="328"/>
      <c r="L244" s="285"/>
      <c r="AC244"/>
      <c r="AD244"/>
      <c r="AE244" s="53"/>
      <c r="AF244" s="345"/>
      <c r="AG244" s="349"/>
      <c r="AH244" s="349"/>
      <c r="AI244" s="349"/>
    </row>
    <row r="245" spans="2:35" s="140" customFormat="1" ht="18.75">
      <c r="B245" s="201"/>
      <c r="F245" s="328"/>
      <c r="G245" s="328"/>
      <c r="H245" s="328"/>
      <c r="I245" s="328"/>
      <c r="J245" s="328"/>
      <c r="L245" s="285"/>
      <c r="AC245"/>
      <c r="AD245"/>
      <c r="AE245" s="53"/>
      <c r="AF245" s="345"/>
      <c r="AG245" s="349"/>
      <c r="AH245" s="349"/>
      <c r="AI245" s="349"/>
    </row>
    <row r="246" spans="2:35" s="140" customFormat="1" ht="18.75">
      <c r="B246" s="201"/>
      <c r="F246" s="328"/>
      <c r="G246" s="328"/>
      <c r="H246" s="328"/>
      <c r="I246" s="328"/>
      <c r="J246" s="328"/>
      <c r="L246" s="285"/>
      <c r="AC246"/>
      <c r="AD246"/>
      <c r="AE246" s="53"/>
      <c r="AF246" s="345"/>
      <c r="AG246" s="349"/>
      <c r="AH246" s="349"/>
      <c r="AI246" s="349"/>
    </row>
    <row r="247" spans="2:35" s="140" customFormat="1" ht="18.75">
      <c r="B247" s="201"/>
      <c r="F247" s="328"/>
      <c r="G247" s="328"/>
      <c r="H247" s="328"/>
      <c r="I247" s="328"/>
      <c r="J247" s="328"/>
      <c r="L247" s="285"/>
      <c r="AC247"/>
      <c r="AD247"/>
      <c r="AE247" s="53"/>
      <c r="AF247" s="345"/>
      <c r="AG247" s="349"/>
      <c r="AH247" s="349"/>
      <c r="AI247" s="349"/>
    </row>
    <row r="248" spans="2:35" s="140" customFormat="1" ht="18.75">
      <c r="B248" s="201"/>
      <c r="F248" s="328"/>
      <c r="G248" s="328"/>
      <c r="H248" s="328"/>
      <c r="I248" s="328"/>
      <c r="J248" s="328"/>
      <c r="L248" s="285"/>
      <c r="AC248"/>
      <c r="AD248"/>
      <c r="AE248" s="53"/>
      <c r="AF248" s="345"/>
      <c r="AG248" s="349"/>
      <c r="AH248" s="349"/>
      <c r="AI248" s="349"/>
    </row>
    <row r="249" spans="2:35" s="140" customFormat="1" ht="18.75">
      <c r="B249" s="201"/>
      <c r="F249" s="328"/>
      <c r="G249" s="328"/>
      <c r="H249" s="328"/>
      <c r="I249" s="328"/>
      <c r="J249" s="328"/>
      <c r="L249" s="285"/>
      <c r="AC249"/>
      <c r="AD249"/>
      <c r="AE249" s="53"/>
      <c r="AF249" s="345"/>
      <c r="AG249" s="349"/>
      <c r="AH249" s="349"/>
      <c r="AI249" s="349"/>
    </row>
    <row r="250" spans="2:35" s="140" customFormat="1" ht="18.75">
      <c r="B250" s="201"/>
      <c r="F250" s="328"/>
      <c r="G250" s="328"/>
      <c r="H250" s="328"/>
      <c r="I250" s="328"/>
      <c r="J250" s="328"/>
      <c r="L250" s="285"/>
      <c r="AC250"/>
      <c r="AD250"/>
      <c r="AE250" s="53"/>
      <c r="AF250" s="345"/>
      <c r="AG250" s="349"/>
      <c r="AH250" s="349"/>
      <c r="AI250" s="349"/>
    </row>
    <row r="251" spans="2:35" s="140" customFormat="1" ht="18.75">
      <c r="B251" s="201"/>
      <c r="F251" s="328"/>
      <c r="G251" s="328"/>
      <c r="H251" s="328"/>
      <c r="I251" s="328"/>
      <c r="J251" s="328"/>
      <c r="L251" s="285"/>
      <c r="AC251"/>
      <c r="AD251"/>
      <c r="AE251" s="53"/>
      <c r="AF251" s="345"/>
      <c r="AG251" s="349"/>
      <c r="AH251" s="349"/>
      <c r="AI251" s="349"/>
    </row>
    <row r="252" spans="2:35" s="140" customFormat="1" ht="18.75">
      <c r="B252" s="201"/>
      <c r="F252" s="328"/>
      <c r="G252" s="328"/>
      <c r="H252" s="328"/>
      <c r="I252" s="328"/>
      <c r="J252" s="328"/>
      <c r="L252" s="285"/>
      <c r="AC252"/>
      <c r="AD252"/>
      <c r="AE252" s="53"/>
      <c r="AF252" s="345"/>
      <c r="AG252" s="349"/>
      <c r="AH252" s="349"/>
      <c r="AI252" s="349"/>
    </row>
    <row r="253" spans="2:35" s="140" customFormat="1" ht="18.75">
      <c r="B253" s="201"/>
      <c r="F253" s="328"/>
      <c r="G253" s="328"/>
      <c r="H253" s="328"/>
      <c r="I253" s="328"/>
      <c r="J253" s="328"/>
      <c r="L253" s="285"/>
      <c r="AC253"/>
      <c r="AD253"/>
      <c r="AE253" s="53"/>
      <c r="AF253" s="345"/>
      <c r="AG253" s="349"/>
      <c r="AH253" s="349"/>
      <c r="AI253" s="349"/>
    </row>
    <row r="254" spans="2:35" s="140" customFormat="1" ht="18.75">
      <c r="B254" s="201"/>
      <c r="F254" s="328"/>
      <c r="G254" s="328"/>
      <c r="H254" s="328"/>
      <c r="I254" s="328"/>
      <c r="J254" s="328"/>
      <c r="L254" s="285"/>
      <c r="AC254"/>
      <c r="AD254"/>
      <c r="AE254" s="53"/>
      <c r="AF254" s="345"/>
      <c r="AG254" s="349"/>
      <c r="AH254" s="349"/>
      <c r="AI254" s="349"/>
    </row>
    <row r="255" spans="2:35" s="140" customFormat="1" ht="18.75">
      <c r="B255" s="201"/>
      <c r="F255" s="328"/>
      <c r="G255" s="328"/>
      <c r="H255" s="328"/>
      <c r="I255" s="328"/>
      <c r="J255" s="328"/>
      <c r="L255" s="285"/>
      <c r="AC255"/>
      <c r="AD255"/>
      <c r="AE255" s="53"/>
      <c r="AF255" s="345"/>
      <c r="AG255" s="349"/>
      <c r="AH255" s="349"/>
      <c r="AI255" s="349"/>
    </row>
    <row r="256" spans="2:35" s="140" customFormat="1" ht="18.75">
      <c r="B256" s="201"/>
      <c r="F256" s="328"/>
      <c r="G256" s="328"/>
      <c r="H256" s="328"/>
      <c r="I256" s="328"/>
      <c r="J256" s="328"/>
      <c r="L256" s="285"/>
      <c r="AC256"/>
      <c r="AD256"/>
      <c r="AE256" s="53"/>
      <c r="AF256" s="345"/>
      <c r="AG256" s="349"/>
      <c r="AH256" s="349"/>
      <c r="AI256" s="349"/>
    </row>
    <row r="257" spans="2:35" s="140" customFormat="1" ht="18.75">
      <c r="B257" s="201"/>
      <c r="F257" s="328"/>
      <c r="G257" s="328"/>
      <c r="H257" s="328"/>
      <c r="I257" s="328"/>
      <c r="J257" s="328"/>
      <c r="L257" s="285"/>
      <c r="AC257"/>
      <c r="AD257"/>
      <c r="AE257" s="53"/>
      <c r="AF257" s="345"/>
      <c r="AG257" s="349"/>
      <c r="AH257" s="349"/>
      <c r="AI257" s="349"/>
    </row>
    <row r="258" spans="2:35" s="140" customFormat="1" ht="18.75">
      <c r="B258" s="201"/>
      <c r="F258" s="328"/>
      <c r="G258" s="328"/>
      <c r="H258" s="328"/>
      <c r="I258" s="328"/>
      <c r="J258" s="328"/>
      <c r="L258" s="285"/>
      <c r="AC258"/>
      <c r="AD258"/>
      <c r="AE258" s="53"/>
      <c r="AF258" s="345"/>
      <c r="AG258" s="349"/>
      <c r="AH258" s="349"/>
      <c r="AI258" s="349"/>
    </row>
    <row r="259" spans="2:35" s="140" customFormat="1" ht="18.75">
      <c r="B259" s="201"/>
      <c r="F259" s="328"/>
      <c r="G259" s="328"/>
      <c r="H259" s="328"/>
      <c r="I259" s="328"/>
      <c r="J259" s="328"/>
      <c r="L259" s="285"/>
      <c r="AC259"/>
      <c r="AD259"/>
      <c r="AE259" s="53"/>
      <c r="AF259" s="345"/>
      <c r="AG259" s="349"/>
      <c r="AH259" s="349"/>
      <c r="AI259" s="349"/>
    </row>
    <row r="260" spans="2:35" s="140" customFormat="1" ht="18.75">
      <c r="B260" s="201"/>
      <c r="F260" s="328"/>
      <c r="G260" s="328"/>
      <c r="H260" s="328"/>
      <c r="I260" s="328"/>
      <c r="J260" s="328"/>
      <c r="L260" s="285"/>
      <c r="AC260"/>
      <c r="AD260"/>
      <c r="AE260" s="53"/>
      <c r="AF260" s="345"/>
      <c r="AG260" s="349"/>
      <c r="AH260" s="349"/>
      <c r="AI260" s="349"/>
    </row>
    <row r="261" spans="2:35" s="140" customFormat="1" ht="18.75">
      <c r="B261" s="201"/>
      <c r="F261" s="328"/>
      <c r="G261" s="328"/>
      <c r="H261" s="328"/>
      <c r="I261" s="328"/>
      <c r="J261" s="328"/>
      <c r="L261" s="285"/>
      <c r="AC261"/>
      <c r="AD261"/>
      <c r="AE261" s="53"/>
      <c r="AF261" s="345"/>
      <c r="AG261" s="349"/>
      <c r="AH261" s="349"/>
      <c r="AI261" s="349"/>
    </row>
    <row r="262" spans="2:35" s="140" customFormat="1" ht="18.75">
      <c r="B262" s="201"/>
      <c r="F262" s="328"/>
      <c r="G262" s="328"/>
      <c r="H262" s="328"/>
      <c r="I262" s="328"/>
      <c r="J262" s="328"/>
      <c r="L262" s="285"/>
      <c r="AC262"/>
      <c r="AD262"/>
      <c r="AE262" s="53"/>
      <c r="AF262" s="345"/>
      <c r="AG262" s="349"/>
      <c r="AH262" s="349"/>
      <c r="AI262" s="349"/>
    </row>
    <row r="263" spans="2:35" s="140" customFormat="1" ht="18.75">
      <c r="B263" s="201"/>
      <c r="F263" s="328"/>
      <c r="G263" s="328"/>
      <c r="H263" s="328"/>
      <c r="I263" s="328"/>
      <c r="J263" s="328"/>
      <c r="L263" s="285"/>
      <c r="AC263"/>
      <c r="AD263"/>
      <c r="AE263" s="53"/>
      <c r="AF263" s="345"/>
      <c r="AG263" s="349"/>
      <c r="AH263" s="349"/>
      <c r="AI263" s="349"/>
    </row>
    <row r="264" spans="2:35" s="140" customFormat="1" ht="18.75">
      <c r="B264" s="201"/>
      <c r="F264" s="328"/>
      <c r="G264" s="328"/>
      <c r="H264" s="328"/>
      <c r="I264" s="328"/>
      <c r="J264" s="328"/>
      <c r="L264" s="285"/>
      <c r="AC264"/>
      <c r="AD264"/>
      <c r="AE264" s="53"/>
      <c r="AF264" s="345"/>
      <c r="AG264" s="349"/>
      <c r="AH264" s="349"/>
      <c r="AI264" s="349"/>
    </row>
    <row r="265" spans="2:35" s="140" customFormat="1" ht="18.75">
      <c r="B265" s="201"/>
      <c r="F265" s="328"/>
      <c r="G265" s="328"/>
      <c r="H265" s="328"/>
      <c r="I265" s="328"/>
      <c r="J265" s="328"/>
      <c r="L265" s="285"/>
      <c r="AC265"/>
      <c r="AD265"/>
      <c r="AE265" s="53"/>
      <c r="AF265" s="345"/>
      <c r="AG265" s="349"/>
      <c r="AH265" s="349"/>
      <c r="AI265" s="349"/>
    </row>
    <row r="266" spans="2:35" s="140" customFormat="1" ht="18.75">
      <c r="B266" s="201"/>
      <c r="F266" s="328"/>
      <c r="G266" s="328"/>
      <c r="H266" s="328"/>
      <c r="I266" s="328"/>
      <c r="J266" s="328"/>
      <c r="L266" s="285"/>
      <c r="AC266"/>
      <c r="AD266"/>
      <c r="AE266" s="53"/>
      <c r="AF266" s="345"/>
      <c r="AG266" s="349"/>
      <c r="AH266" s="349"/>
      <c r="AI266" s="349"/>
    </row>
    <row r="267" spans="2:35" s="140" customFormat="1" ht="18.75">
      <c r="B267" s="201"/>
      <c r="F267" s="328"/>
      <c r="G267" s="328"/>
      <c r="H267" s="328"/>
      <c r="I267" s="328"/>
      <c r="J267" s="328"/>
      <c r="L267" s="285"/>
      <c r="AC267"/>
      <c r="AD267"/>
      <c r="AE267" s="53"/>
      <c r="AF267" s="345"/>
      <c r="AG267" s="349"/>
      <c r="AH267" s="349"/>
      <c r="AI267" s="349"/>
    </row>
    <row r="268" spans="2:35" s="140" customFormat="1" ht="18.75">
      <c r="B268" s="201"/>
      <c r="F268" s="328"/>
      <c r="G268" s="328"/>
      <c r="H268" s="328"/>
      <c r="I268" s="328"/>
      <c r="J268" s="328"/>
      <c r="L268" s="285"/>
      <c r="AC268"/>
      <c r="AD268"/>
      <c r="AE268" s="53"/>
      <c r="AF268" s="345"/>
      <c r="AG268" s="349"/>
      <c r="AH268" s="349"/>
      <c r="AI268" s="349"/>
    </row>
    <row r="269" spans="2:35" s="140" customFormat="1" ht="18.75">
      <c r="B269" s="201"/>
      <c r="F269" s="328"/>
      <c r="G269" s="328"/>
      <c r="H269" s="328"/>
      <c r="I269" s="328"/>
      <c r="J269" s="328"/>
      <c r="L269" s="285"/>
      <c r="AC269"/>
      <c r="AD269"/>
      <c r="AE269" s="53"/>
      <c r="AF269" s="345"/>
      <c r="AG269" s="349"/>
      <c r="AH269" s="349"/>
      <c r="AI269" s="349"/>
    </row>
    <row r="270" spans="2:35" s="140" customFormat="1" ht="18.75">
      <c r="B270" s="201"/>
      <c r="F270" s="328"/>
      <c r="G270" s="328"/>
      <c r="H270" s="328"/>
      <c r="I270" s="328"/>
      <c r="J270" s="328"/>
      <c r="L270" s="285"/>
      <c r="AC270"/>
      <c r="AD270"/>
      <c r="AE270" s="53"/>
      <c r="AF270" s="345"/>
      <c r="AG270" s="349"/>
      <c r="AH270" s="349"/>
      <c r="AI270" s="349"/>
    </row>
    <row r="271" spans="2:35" s="140" customFormat="1" ht="18.75">
      <c r="B271" s="201"/>
      <c r="F271" s="328"/>
      <c r="G271" s="328"/>
      <c r="H271" s="328"/>
      <c r="I271" s="328"/>
      <c r="J271" s="328"/>
      <c r="L271" s="285"/>
      <c r="AC271"/>
      <c r="AD271"/>
      <c r="AE271" s="53"/>
      <c r="AF271" s="345"/>
      <c r="AG271" s="349"/>
      <c r="AH271" s="349"/>
      <c r="AI271" s="349"/>
    </row>
    <row r="272" spans="2:35" s="140" customFormat="1" ht="18.75">
      <c r="B272" s="201"/>
      <c r="F272" s="328"/>
      <c r="G272" s="328"/>
      <c r="H272" s="328"/>
      <c r="I272" s="328"/>
      <c r="J272" s="328"/>
      <c r="L272" s="285"/>
      <c r="AC272"/>
      <c r="AD272"/>
      <c r="AE272" s="53"/>
      <c r="AF272" s="345"/>
      <c r="AG272" s="349"/>
      <c r="AH272" s="349"/>
      <c r="AI272" s="349"/>
    </row>
    <row r="273" spans="2:35" s="140" customFormat="1" ht="18.75">
      <c r="B273" s="201"/>
      <c r="F273" s="328"/>
      <c r="G273" s="328"/>
      <c r="H273" s="328"/>
      <c r="I273" s="328"/>
      <c r="J273" s="328"/>
      <c r="L273" s="285"/>
      <c r="AC273"/>
      <c r="AD273"/>
      <c r="AE273" s="53"/>
      <c r="AF273" s="345"/>
      <c r="AG273" s="349"/>
      <c r="AH273" s="349"/>
      <c r="AI273" s="349"/>
    </row>
    <row r="274" spans="2:35" s="140" customFormat="1" ht="18.75">
      <c r="B274" s="201"/>
      <c r="F274" s="328"/>
      <c r="G274" s="328"/>
      <c r="H274" s="328"/>
      <c r="I274" s="328"/>
      <c r="J274" s="328"/>
      <c r="L274" s="285"/>
      <c r="AC274"/>
      <c r="AD274"/>
      <c r="AE274" s="53"/>
      <c r="AF274" s="345"/>
      <c r="AG274" s="349"/>
      <c r="AH274" s="349"/>
      <c r="AI274" s="349"/>
    </row>
    <row r="275" spans="2:35" s="140" customFormat="1" ht="18.75">
      <c r="B275" s="201"/>
      <c r="F275" s="328"/>
      <c r="G275" s="328"/>
      <c r="H275" s="328"/>
      <c r="I275" s="328"/>
      <c r="J275" s="328"/>
      <c r="L275" s="285"/>
      <c r="AC275"/>
      <c r="AD275"/>
      <c r="AE275" s="53"/>
      <c r="AF275" s="345"/>
      <c r="AG275" s="349"/>
      <c r="AH275" s="349"/>
      <c r="AI275" s="349"/>
    </row>
    <row r="276" spans="2:35" s="140" customFormat="1" ht="18.75">
      <c r="B276" s="201"/>
      <c r="F276" s="328"/>
      <c r="G276" s="328"/>
      <c r="H276" s="328"/>
      <c r="I276" s="328"/>
      <c r="J276" s="328"/>
      <c r="L276" s="285"/>
      <c r="AC276"/>
      <c r="AD276"/>
      <c r="AE276" s="53"/>
      <c r="AF276" s="345"/>
      <c r="AG276" s="349"/>
      <c r="AH276" s="349"/>
      <c r="AI276" s="349"/>
    </row>
    <row r="277" spans="2:35" s="140" customFormat="1" ht="18.75">
      <c r="B277" s="201"/>
      <c r="F277" s="328"/>
      <c r="G277" s="328"/>
      <c r="H277" s="328"/>
      <c r="I277" s="328"/>
      <c r="J277" s="328"/>
      <c r="L277" s="285"/>
      <c r="AC277"/>
      <c r="AD277"/>
      <c r="AE277" s="53"/>
      <c r="AF277" s="345"/>
      <c r="AG277" s="349"/>
      <c r="AH277" s="349"/>
      <c r="AI277" s="349"/>
    </row>
    <row r="278" spans="2:35" s="140" customFormat="1" ht="18.75">
      <c r="B278" s="201"/>
      <c r="F278" s="328"/>
      <c r="G278" s="328"/>
      <c r="H278" s="328"/>
      <c r="I278" s="328"/>
      <c r="J278" s="328"/>
      <c r="L278" s="285"/>
      <c r="AC278"/>
      <c r="AD278"/>
      <c r="AE278" s="53"/>
      <c r="AF278" s="345"/>
      <c r="AG278" s="349"/>
      <c r="AH278" s="349"/>
      <c r="AI278" s="349"/>
    </row>
    <row r="279" spans="2:35" s="140" customFormat="1" ht="18.75">
      <c r="B279" s="201"/>
      <c r="F279" s="328"/>
      <c r="G279" s="328"/>
      <c r="H279" s="328"/>
      <c r="I279" s="328"/>
      <c r="J279" s="328"/>
      <c r="L279" s="285"/>
      <c r="AC279"/>
      <c r="AD279"/>
      <c r="AE279" s="53"/>
      <c r="AF279" s="345"/>
      <c r="AG279" s="349"/>
      <c r="AH279" s="349"/>
      <c r="AI279" s="349"/>
    </row>
    <row r="280" spans="2:35" s="140" customFormat="1" ht="18.75">
      <c r="B280" s="201"/>
      <c r="F280" s="328"/>
      <c r="G280" s="328"/>
      <c r="H280" s="328"/>
      <c r="I280" s="328"/>
      <c r="J280" s="328"/>
      <c r="L280" s="285"/>
      <c r="AC280"/>
      <c r="AD280"/>
      <c r="AE280" s="53"/>
      <c r="AF280" s="345"/>
      <c r="AG280" s="349"/>
      <c r="AH280" s="349"/>
      <c r="AI280" s="349"/>
    </row>
    <row r="281" spans="2:35" s="140" customFormat="1" ht="18.75">
      <c r="B281" s="201"/>
      <c r="F281" s="328"/>
      <c r="G281" s="328"/>
      <c r="H281" s="328"/>
      <c r="I281" s="328"/>
      <c r="J281" s="328"/>
      <c r="L281" s="285"/>
      <c r="AC281"/>
      <c r="AD281"/>
      <c r="AE281" s="53"/>
      <c r="AF281" s="345"/>
      <c r="AG281" s="349"/>
      <c r="AH281" s="349"/>
      <c r="AI281" s="349"/>
    </row>
    <row r="282" spans="2:35" s="140" customFormat="1" ht="18.75">
      <c r="B282" s="201"/>
      <c r="F282" s="328"/>
      <c r="G282" s="328"/>
      <c r="H282" s="328"/>
      <c r="I282" s="328"/>
      <c r="J282" s="328"/>
      <c r="L282" s="285"/>
      <c r="AC282"/>
      <c r="AD282"/>
      <c r="AE282" s="53"/>
      <c r="AF282" s="345"/>
      <c r="AG282" s="349"/>
      <c r="AH282" s="349"/>
      <c r="AI282" s="349"/>
    </row>
    <row r="283" spans="2:35" s="140" customFormat="1" ht="18.75">
      <c r="B283" s="201"/>
      <c r="F283" s="328"/>
      <c r="G283" s="328"/>
      <c r="H283" s="328"/>
      <c r="I283" s="328"/>
      <c r="J283" s="328"/>
      <c r="L283" s="285"/>
      <c r="AC283"/>
      <c r="AD283"/>
      <c r="AE283" s="53"/>
      <c r="AF283" s="345"/>
      <c r="AG283" s="349"/>
      <c r="AH283" s="349"/>
      <c r="AI283" s="349"/>
    </row>
    <row r="284" spans="2:35" s="140" customFormat="1" ht="18.75">
      <c r="B284" s="201"/>
      <c r="F284" s="328"/>
      <c r="G284" s="328"/>
      <c r="H284" s="328"/>
      <c r="I284" s="328"/>
      <c r="J284" s="328"/>
      <c r="L284" s="285"/>
      <c r="AC284"/>
      <c r="AD284"/>
      <c r="AE284" s="53"/>
      <c r="AF284" s="345"/>
      <c r="AG284" s="349"/>
      <c r="AH284" s="349"/>
      <c r="AI284" s="349"/>
    </row>
    <row r="285" spans="2:35" s="140" customFormat="1" ht="18.75">
      <c r="B285" s="201"/>
      <c r="F285" s="328"/>
      <c r="G285" s="328"/>
      <c r="H285" s="328"/>
      <c r="I285" s="328"/>
      <c r="J285" s="328"/>
      <c r="L285" s="285"/>
      <c r="AC285"/>
      <c r="AD285"/>
      <c r="AE285" s="53"/>
      <c r="AF285" s="345"/>
      <c r="AG285" s="349"/>
      <c r="AH285" s="349"/>
      <c r="AI285" s="349"/>
    </row>
    <row r="286" spans="2:35" s="140" customFormat="1" ht="18.75">
      <c r="B286" s="201"/>
      <c r="F286" s="328"/>
      <c r="G286" s="328"/>
      <c r="H286" s="328"/>
      <c r="I286" s="328"/>
      <c r="J286" s="328"/>
      <c r="L286" s="285"/>
      <c r="AC286"/>
      <c r="AD286"/>
      <c r="AE286" s="53"/>
      <c r="AF286" s="345"/>
      <c r="AG286" s="349"/>
      <c r="AH286" s="349"/>
      <c r="AI286" s="349"/>
    </row>
    <row r="287" spans="2:35" s="140" customFormat="1" ht="18.75">
      <c r="B287" s="201"/>
      <c r="F287" s="328"/>
      <c r="G287" s="328"/>
      <c r="H287" s="328"/>
      <c r="I287" s="328"/>
      <c r="J287" s="328"/>
      <c r="L287" s="285"/>
      <c r="AC287"/>
      <c r="AD287"/>
      <c r="AE287" s="53"/>
      <c r="AF287" s="345"/>
      <c r="AG287" s="349"/>
      <c r="AH287" s="349"/>
      <c r="AI287" s="349"/>
    </row>
    <row r="288" spans="2:35" s="140" customFormat="1" ht="18.75">
      <c r="B288" s="201"/>
      <c r="F288" s="328"/>
      <c r="G288" s="328"/>
      <c r="H288" s="328"/>
      <c r="I288" s="328"/>
      <c r="J288" s="328"/>
      <c r="L288" s="285"/>
      <c r="AC288"/>
      <c r="AD288"/>
      <c r="AE288" s="53"/>
      <c r="AF288" s="345"/>
      <c r="AG288" s="349"/>
      <c r="AH288" s="349"/>
      <c r="AI288" s="349"/>
    </row>
    <row r="289" spans="2:35" s="140" customFormat="1" ht="18.75">
      <c r="B289" s="201"/>
      <c r="F289" s="328"/>
      <c r="G289" s="328"/>
      <c r="H289" s="328"/>
      <c r="I289" s="328"/>
      <c r="J289" s="328"/>
      <c r="L289" s="285"/>
      <c r="AC289"/>
      <c r="AD289"/>
      <c r="AE289" s="53"/>
      <c r="AF289" s="345"/>
      <c r="AG289" s="349"/>
      <c r="AH289" s="349"/>
      <c r="AI289" s="349"/>
    </row>
    <row r="290" spans="2:35" s="140" customFormat="1" ht="18.75">
      <c r="B290" s="201"/>
      <c r="F290" s="328"/>
      <c r="G290" s="328"/>
      <c r="H290" s="328"/>
      <c r="I290" s="328"/>
      <c r="J290" s="328"/>
      <c r="L290" s="285"/>
      <c r="AC290"/>
      <c r="AD290"/>
      <c r="AE290" s="53"/>
      <c r="AF290" s="345"/>
      <c r="AG290" s="349"/>
      <c r="AH290" s="349"/>
      <c r="AI290" s="349"/>
    </row>
    <row r="291" spans="2:35" s="140" customFormat="1" ht="18.75">
      <c r="B291" s="201"/>
      <c r="F291" s="328"/>
      <c r="G291" s="328"/>
      <c r="H291" s="328"/>
      <c r="I291" s="328"/>
      <c r="J291" s="328"/>
      <c r="L291" s="285"/>
      <c r="AC291"/>
      <c r="AD291"/>
      <c r="AE291" s="53"/>
      <c r="AF291" s="345"/>
      <c r="AG291" s="349"/>
      <c r="AH291" s="349"/>
      <c r="AI291" s="349"/>
    </row>
    <row r="292" spans="2:35" s="140" customFormat="1" ht="18.75">
      <c r="B292" s="201"/>
      <c r="F292" s="328"/>
      <c r="G292" s="328"/>
      <c r="H292" s="328"/>
      <c r="I292" s="328"/>
      <c r="J292" s="328"/>
      <c r="L292" s="285"/>
      <c r="AC292"/>
      <c r="AD292"/>
      <c r="AE292" s="53"/>
      <c r="AF292" s="345"/>
      <c r="AG292" s="349"/>
      <c r="AH292" s="349"/>
      <c r="AI292" s="349"/>
    </row>
    <row r="293" spans="2:35" s="140" customFormat="1" ht="18.75">
      <c r="B293" s="201"/>
      <c r="F293" s="328"/>
      <c r="G293" s="328"/>
      <c r="H293" s="328"/>
      <c r="I293" s="328"/>
      <c r="J293" s="328"/>
      <c r="L293" s="285"/>
      <c r="AC293"/>
      <c r="AD293"/>
      <c r="AE293" s="53"/>
      <c r="AF293" s="345"/>
      <c r="AG293" s="349"/>
      <c r="AH293" s="349"/>
      <c r="AI293" s="349"/>
    </row>
    <row r="294" spans="2:35" s="140" customFormat="1" ht="18.75">
      <c r="B294" s="201"/>
      <c r="F294" s="328"/>
      <c r="G294" s="328"/>
      <c r="H294" s="328"/>
      <c r="I294" s="328"/>
      <c r="J294" s="328"/>
      <c r="L294" s="285"/>
      <c r="AC294"/>
      <c r="AD294"/>
      <c r="AE294" s="53"/>
      <c r="AF294" s="345"/>
      <c r="AG294" s="349"/>
      <c r="AH294" s="349"/>
      <c r="AI294" s="349"/>
    </row>
    <row r="295" spans="2:35" s="140" customFormat="1" ht="18.75">
      <c r="B295" s="201"/>
      <c r="F295" s="328"/>
      <c r="G295" s="328"/>
      <c r="H295" s="328"/>
      <c r="I295" s="328"/>
      <c r="J295" s="328"/>
      <c r="L295" s="285"/>
      <c r="AC295"/>
      <c r="AD295"/>
      <c r="AE295" s="53"/>
      <c r="AF295" s="345"/>
      <c r="AG295" s="349"/>
      <c r="AH295" s="349"/>
      <c r="AI295" s="349"/>
    </row>
    <row r="296" spans="2:35" s="140" customFormat="1" ht="18.75">
      <c r="B296" s="201"/>
      <c r="F296" s="328"/>
      <c r="G296" s="328"/>
      <c r="H296" s="328"/>
      <c r="I296" s="328"/>
      <c r="J296" s="328"/>
      <c r="L296" s="285"/>
      <c r="AC296"/>
      <c r="AD296"/>
      <c r="AE296" s="53"/>
      <c r="AF296" s="345"/>
      <c r="AG296" s="349"/>
      <c r="AH296" s="349"/>
      <c r="AI296" s="349"/>
    </row>
    <row r="297" spans="2:35" s="140" customFormat="1" ht="18.75">
      <c r="B297" s="201"/>
      <c r="F297" s="328"/>
      <c r="G297" s="328"/>
      <c r="H297" s="328"/>
      <c r="I297" s="328"/>
      <c r="J297" s="328"/>
      <c r="L297" s="285"/>
      <c r="AC297"/>
      <c r="AD297"/>
      <c r="AE297" s="53"/>
      <c r="AF297" s="345"/>
      <c r="AG297" s="349"/>
      <c r="AH297" s="349"/>
      <c r="AI297" s="349"/>
    </row>
    <row r="298" spans="2:35" s="140" customFormat="1" ht="18.75">
      <c r="B298" s="201"/>
      <c r="F298" s="328"/>
      <c r="G298" s="328"/>
      <c r="H298" s="328"/>
      <c r="I298" s="328"/>
      <c r="J298" s="328"/>
      <c r="L298" s="285"/>
      <c r="AC298"/>
      <c r="AD298"/>
      <c r="AE298" s="53"/>
      <c r="AF298" s="345"/>
      <c r="AG298" s="349"/>
      <c r="AH298" s="349"/>
      <c r="AI298" s="349"/>
    </row>
    <row r="299" spans="2:35" s="140" customFormat="1" ht="18.75">
      <c r="B299" s="201"/>
      <c r="F299" s="328"/>
      <c r="G299" s="328"/>
      <c r="H299" s="328"/>
      <c r="I299" s="328"/>
      <c r="J299" s="328"/>
      <c r="L299" s="285"/>
      <c r="AC299"/>
      <c r="AD299"/>
      <c r="AE299" s="53"/>
      <c r="AF299" s="345"/>
      <c r="AG299" s="349"/>
      <c r="AH299" s="349"/>
      <c r="AI299" s="349"/>
    </row>
    <row r="300" spans="2:35" s="140" customFormat="1" ht="18.75">
      <c r="B300" s="201"/>
      <c r="F300" s="328"/>
      <c r="G300" s="328"/>
      <c r="H300" s="328"/>
      <c r="I300" s="328"/>
      <c r="J300" s="328"/>
      <c r="L300" s="285"/>
      <c r="AC300"/>
      <c r="AD300"/>
      <c r="AE300" s="53"/>
      <c r="AF300" s="345"/>
      <c r="AG300" s="349"/>
      <c r="AH300" s="349"/>
      <c r="AI300" s="349"/>
    </row>
    <row r="301" spans="2:35" s="140" customFormat="1" ht="18.75">
      <c r="B301" s="201"/>
      <c r="F301" s="328"/>
      <c r="G301" s="328"/>
      <c r="H301" s="328"/>
      <c r="I301" s="328"/>
      <c r="J301" s="328"/>
      <c r="L301" s="285"/>
      <c r="AC301"/>
      <c r="AD301"/>
      <c r="AE301" s="53"/>
      <c r="AF301" s="345"/>
      <c r="AG301" s="349"/>
      <c r="AH301" s="349"/>
      <c r="AI301" s="349"/>
    </row>
    <row r="302" spans="2:35" s="140" customFormat="1" ht="18.75">
      <c r="B302" s="201"/>
      <c r="F302" s="328"/>
      <c r="G302" s="328"/>
      <c r="H302" s="328"/>
      <c r="I302" s="328"/>
      <c r="J302" s="328"/>
      <c r="L302" s="285"/>
      <c r="AC302"/>
      <c r="AD302"/>
      <c r="AE302" s="53"/>
      <c r="AF302" s="345"/>
      <c r="AG302" s="349"/>
      <c r="AH302" s="349"/>
      <c r="AI302" s="349"/>
    </row>
    <row r="303" spans="2:35" s="140" customFormat="1" ht="18.75">
      <c r="B303" s="201"/>
      <c r="F303" s="328"/>
      <c r="G303" s="328"/>
      <c r="H303" s="328"/>
      <c r="I303" s="328"/>
      <c r="J303" s="328"/>
      <c r="L303" s="285"/>
      <c r="AC303"/>
      <c r="AD303"/>
      <c r="AE303" s="53"/>
      <c r="AF303" s="345"/>
      <c r="AG303" s="349"/>
      <c r="AH303" s="349"/>
      <c r="AI303" s="349"/>
    </row>
    <row r="304" spans="2:35" s="140" customFormat="1" ht="18.75">
      <c r="B304" s="201"/>
      <c r="F304" s="328"/>
      <c r="G304" s="328"/>
      <c r="H304" s="328"/>
      <c r="I304" s="328"/>
      <c r="J304" s="328"/>
      <c r="L304" s="285"/>
      <c r="AC304"/>
      <c r="AD304"/>
      <c r="AE304" s="53"/>
      <c r="AF304" s="345"/>
      <c r="AG304" s="349"/>
      <c r="AH304" s="349"/>
      <c r="AI304" s="349"/>
    </row>
    <row r="305" spans="2:35" s="140" customFormat="1" ht="18.75">
      <c r="B305" s="201"/>
      <c r="F305" s="328"/>
      <c r="G305" s="328"/>
      <c r="H305" s="328"/>
      <c r="I305" s="328"/>
      <c r="J305" s="328"/>
      <c r="L305" s="285"/>
      <c r="AC305"/>
      <c r="AD305"/>
      <c r="AE305" s="53"/>
      <c r="AF305" s="345"/>
      <c r="AG305" s="349"/>
      <c r="AH305" s="349"/>
      <c r="AI305" s="349"/>
    </row>
    <row r="306" spans="2:35" s="140" customFormat="1" ht="18.75">
      <c r="B306" s="201"/>
      <c r="F306" s="328"/>
      <c r="G306" s="328"/>
      <c r="H306" s="328"/>
      <c r="I306" s="328"/>
      <c r="J306" s="328"/>
      <c r="L306" s="285"/>
      <c r="AC306"/>
      <c r="AD306"/>
      <c r="AE306" s="53"/>
      <c r="AF306" s="345"/>
      <c r="AG306" s="349"/>
      <c r="AH306" s="349"/>
      <c r="AI306" s="349"/>
    </row>
    <row r="307" spans="2:35" s="140" customFormat="1" ht="18.75">
      <c r="B307" s="201"/>
      <c r="F307" s="328"/>
      <c r="G307" s="328"/>
      <c r="H307" s="328"/>
      <c r="I307" s="328"/>
      <c r="J307" s="328"/>
      <c r="L307" s="285"/>
      <c r="AC307"/>
      <c r="AD307"/>
      <c r="AE307" s="53"/>
      <c r="AF307" s="345"/>
      <c r="AG307" s="349"/>
      <c r="AH307" s="349"/>
      <c r="AI307" s="349"/>
    </row>
    <row r="308" spans="2:35" s="140" customFormat="1" ht="18.75">
      <c r="B308" s="201"/>
      <c r="F308" s="328"/>
      <c r="G308" s="328"/>
      <c r="H308" s="328"/>
      <c r="I308" s="328"/>
      <c r="J308" s="328"/>
      <c r="L308" s="285"/>
      <c r="AC308"/>
      <c r="AD308"/>
      <c r="AE308" s="53"/>
      <c r="AF308" s="345"/>
      <c r="AG308" s="349"/>
      <c r="AH308" s="349"/>
      <c r="AI308" s="349"/>
    </row>
    <row r="309" spans="2:35" s="140" customFormat="1" ht="18.75">
      <c r="B309" s="201"/>
      <c r="F309" s="328"/>
      <c r="G309" s="328"/>
      <c r="H309" s="328"/>
      <c r="I309" s="328"/>
      <c r="J309" s="328"/>
      <c r="L309" s="285"/>
      <c r="AC309"/>
      <c r="AD309"/>
      <c r="AE309" s="53"/>
      <c r="AF309" s="345"/>
      <c r="AG309" s="349"/>
      <c r="AH309" s="349"/>
      <c r="AI309" s="349"/>
    </row>
    <row r="310" spans="2:35" s="140" customFormat="1" ht="18.75">
      <c r="B310" s="201"/>
      <c r="F310" s="328"/>
      <c r="G310" s="328"/>
      <c r="H310" s="328"/>
      <c r="I310" s="328"/>
      <c r="J310" s="328"/>
      <c r="L310" s="285"/>
      <c r="AC310"/>
      <c r="AD310"/>
      <c r="AE310" s="53"/>
      <c r="AF310" s="345"/>
      <c r="AG310" s="349"/>
      <c r="AH310" s="349"/>
      <c r="AI310" s="349"/>
    </row>
    <row r="311" spans="2:35" s="140" customFormat="1" ht="18.75">
      <c r="B311" s="201"/>
      <c r="F311" s="328"/>
      <c r="G311" s="328"/>
      <c r="H311" s="328"/>
      <c r="I311" s="328"/>
      <c r="J311" s="328"/>
      <c r="L311" s="285"/>
      <c r="AC311"/>
      <c r="AD311"/>
      <c r="AE311" s="53"/>
      <c r="AF311" s="345"/>
      <c r="AG311" s="349"/>
      <c r="AH311" s="349"/>
      <c r="AI311" s="349"/>
    </row>
    <row r="312" spans="2:35" s="140" customFormat="1" ht="18.75">
      <c r="B312" s="201"/>
      <c r="F312" s="328"/>
      <c r="G312" s="328"/>
      <c r="H312" s="328"/>
      <c r="I312" s="328"/>
      <c r="J312" s="328"/>
      <c r="L312" s="285"/>
      <c r="AC312"/>
      <c r="AD312"/>
      <c r="AE312" s="53"/>
      <c r="AF312" s="345"/>
      <c r="AG312" s="349"/>
      <c r="AH312" s="349"/>
      <c r="AI312" s="349"/>
    </row>
    <row r="313" spans="2:35" s="140" customFormat="1" ht="18.75">
      <c r="B313" s="201"/>
      <c r="F313" s="328"/>
      <c r="G313" s="328"/>
      <c r="H313" s="328"/>
      <c r="I313" s="328"/>
      <c r="J313" s="328"/>
      <c r="L313" s="285"/>
      <c r="AC313"/>
      <c r="AD313"/>
      <c r="AE313" s="53"/>
      <c r="AF313" s="345"/>
      <c r="AG313" s="349"/>
      <c r="AH313" s="349"/>
      <c r="AI313" s="349"/>
    </row>
    <row r="314" spans="2:35" s="140" customFormat="1" ht="18.75">
      <c r="B314" s="201"/>
      <c r="F314" s="328"/>
      <c r="G314" s="328"/>
      <c r="H314" s="328"/>
      <c r="I314" s="328"/>
      <c r="J314" s="328"/>
      <c r="L314" s="285"/>
      <c r="AC314"/>
      <c r="AD314"/>
      <c r="AE314" s="53"/>
      <c r="AF314" s="345"/>
      <c r="AG314" s="349"/>
      <c r="AH314" s="349"/>
      <c r="AI314" s="349"/>
    </row>
    <row r="315" spans="2:35" s="140" customFormat="1" ht="18.75">
      <c r="B315" s="201"/>
      <c r="F315" s="328"/>
      <c r="G315" s="328"/>
      <c r="H315" s="328"/>
      <c r="I315" s="328"/>
      <c r="J315" s="328"/>
      <c r="L315" s="285"/>
      <c r="AC315"/>
      <c r="AD315"/>
      <c r="AE315" s="53"/>
      <c r="AF315" s="345"/>
      <c r="AG315" s="349"/>
      <c r="AH315" s="349"/>
      <c r="AI315" s="349"/>
    </row>
    <row r="316" spans="2:35" s="140" customFormat="1" ht="18.75">
      <c r="B316" s="201"/>
      <c r="F316" s="328"/>
      <c r="G316" s="328"/>
      <c r="H316" s="328"/>
      <c r="I316" s="328"/>
      <c r="J316" s="328"/>
      <c r="L316" s="285"/>
      <c r="AC316"/>
      <c r="AD316"/>
      <c r="AE316" s="53"/>
      <c r="AF316" s="345"/>
      <c r="AG316" s="349"/>
      <c r="AH316" s="349"/>
      <c r="AI316" s="349"/>
    </row>
    <row r="317" spans="2:35" s="140" customFormat="1" ht="18.75">
      <c r="B317" s="201"/>
      <c r="F317" s="328"/>
      <c r="G317" s="328"/>
      <c r="H317" s="328"/>
      <c r="I317" s="328"/>
      <c r="J317" s="328"/>
      <c r="L317" s="285"/>
      <c r="AC317"/>
      <c r="AD317"/>
      <c r="AE317" s="53"/>
      <c r="AF317" s="345"/>
      <c r="AG317" s="349"/>
      <c r="AH317" s="349"/>
      <c r="AI317" s="349"/>
    </row>
    <row r="318" spans="2:35" s="140" customFormat="1" ht="18.75">
      <c r="B318" s="201"/>
      <c r="F318" s="328"/>
      <c r="G318" s="328"/>
      <c r="H318" s="328"/>
      <c r="I318" s="328"/>
      <c r="J318" s="328"/>
      <c r="L318" s="285"/>
      <c r="AC318"/>
      <c r="AD318"/>
      <c r="AE318" s="53"/>
      <c r="AF318" s="345"/>
      <c r="AG318" s="349"/>
      <c r="AH318" s="349"/>
      <c r="AI318" s="349"/>
    </row>
    <row r="319" spans="2:35" s="140" customFormat="1" ht="18.75">
      <c r="B319" s="201"/>
      <c r="F319" s="328"/>
      <c r="G319" s="328"/>
      <c r="H319" s="328"/>
      <c r="I319" s="328"/>
      <c r="J319" s="328"/>
      <c r="L319" s="285"/>
      <c r="AC319"/>
      <c r="AD319"/>
      <c r="AE319" s="53"/>
      <c r="AF319" s="345"/>
      <c r="AG319" s="349"/>
      <c r="AH319" s="349"/>
      <c r="AI319" s="349"/>
    </row>
    <row r="320" spans="2:35" s="140" customFormat="1" ht="18.75">
      <c r="B320" s="201"/>
      <c r="F320" s="328"/>
      <c r="G320" s="328"/>
      <c r="H320" s="328"/>
      <c r="I320" s="328"/>
      <c r="J320" s="328"/>
      <c r="L320" s="285"/>
      <c r="AC320"/>
      <c r="AD320"/>
      <c r="AE320" s="53"/>
      <c r="AF320" s="345"/>
      <c r="AG320" s="349"/>
      <c r="AH320" s="349"/>
      <c r="AI320" s="349"/>
    </row>
    <row r="321" spans="2:35" s="140" customFormat="1" ht="18.75">
      <c r="B321" s="201"/>
      <c r="F321" s="328"/>
      <c r="G321" s="328"/>
      <c r="H321" s="328"/>
      <c r="I321" s="328"/>
      <c r="J321" s="328"/>
      <c r="L321" s="285"/>
      <c r="AC321"/>
      <c r="AD321"/>
      <c r="AE321" s="53"/>
      <c r="AF321" s="345"/>
      <c r="AG321" s="349"/>
      <c r="AH321" s="349"/>
      <c r="AI321" s="349"/>
    </row>
    <row r="322" spans="2:35" s="140" customFormat="1" ht="18.75">
      <c r="B322" s="201"/>
      <c r="F322" s="328"/>
      <c r="G322" s="328"/>
      <c r="H322" s="328"/>
      <c r="I322" s="328"/>
      <c r="J322" s="328"/>
      <c r="L322" s="158"/>
      <c r="M322" s="139"/>
      <c r="N322" s="139"/>
      <c r="O322" s="139"/>
      <c r="P322" s="139"/>
      <c r="AC322"/>
      <c r="AD322"/>
      <c r="AE322" s="53"/>
      <c r="AF322" s="345"/>
      <c r="AG322" s="349"/>
      <c r="AH322" s="349"/>
      <c r="AI322" s="349"/>
    </row>
    <row r="323" spans="2:35" s="140" customFormat="1" ht="18.75">
      <c r="B323" s="201"/>
      <c r="F323" s="328"/>
      <c r="G323" s="328"/>
      <c r="H323" s="328"/>
      <c r="I323" s="328"/>
      <c r="J323" s="328"/>
      <c r="L323" s="158"/>
      <c r="M323" s="139"/>
      <c r="N323" s="139"/>
      <c r="O323" s="139"/>
      <c r="P323" s="139"/>
      <c r="AC323"/>
      <c r="AD323"/>
      <c r="AE323" s="53"/>
      <c r="AF323" s="345"/>
      <c r="AG323" s="349"/>
      <c r="AH323" s="349"/>
      <c r="AI323" s="349"/>
    </row>
    <row r="324" spans="17:26" ht="18.75">
      <c r="Q324" s="140"/>
      <c r="R324" s="140"/>
      <c r="S324" s="140"/>
      <c r="T324" s="140"/>
      <c r="U324" s="140"/>
      <c r="V324" s="140"/>
      <c r="W324" s="140"/>
      <c r="X324" s="140"/>
      <c r="Y324" s="140"/>
      <c r="Z324" s="140"/>
    </row>
    <row r="325" spans="17:26" ht="18.75">
      <c r="Q325" s="140"/>
      <c r="R325" s="140"/>
      <c r="S325" s="140"/>
      <c r="T325" s="140"/>
      <c r="U325" s="140"/>
      <c r="V325" s="140"/>
      <c r="W325" s="140"/>
      <c r="X325" s="140"/>
      <c r="Y325" s="140"/>
      <c r="Z325" s="140"/>
    </row>
    <row r="326" spans="17:26" ht="18.75">
      <c r="Q326" s="140"/>
      <c r="R326" s="140"/>
      <c r="S326" s="140"/>
      <c r="T326" s="140"/>
      <c r="U326" s="140"/>
      <c r="V326" s="140"/>
      <c r="W326" s="140"/>
      <c r="X326" s="140"/>
      <c r="Y326" s="140"/>
      <c r="Z326" s="140"/>
    </row>
  </sheetData>
  <sheetProtection/>
  <mergeCells count="57">
    <mergeCell ref="AC125:AD125"/>
    <mergeCell ref="AE127:AE128"/>
    <mergeCell ref="AE129:AE130"/>
    <mergeCell ref="AE132:AE133"/>
    <mergeCell ref="AC134:AD134"/>
    <mergeCell ref="D114:F114"/>
    <mergeCell ref="H114:J114"/>
    <mergeCell ref="D115:F115"/>
    <mergeCell ref="H115:J115"/>
    <mergeCell ref="AC115:AD115"/>
    <mergeCell ref="AC118:AD118"/>
    <mergeCell ref="N110:N112"/>
    <mergeCell ref="P110:P112"/>
    <mergeCell ref="AC111:AD111"/>
    <mergeCell ref="N113:N115"/>
    <mergeCell ref="P113:P115"/>
    <mergeCell ref="AC113:AD113"/>
    <mergeCell ref="AC83:AD83"/>
    <mergeCell ref="AC84:AD84"/>
    <mergeCell ref="N104:N106"/>
    <mergeCell ref="P104:P106"/>
    <mergeCell ref="B107:C107"/>
    <mergeCell ref="N107:N109"/>
    <mergeCell ref="P107:P109"/>
    <mergeCell ref="AC109:AD109"/>
    <mergeCell ref="B33:J33"/>
    <mergeCell ref="B34:J34"/>
    <mergeCell ref="AC65:AD65"/>
    <mergeCell ref="AC67:AD67"/>
    <mergeCell ref="AC68:AD68"/>
    <mergeCell ref="AC81:AD81"/>
    <mergeCell ref="B27:J27"/>
    <mergeCell ref="B28:J28"/>
    <mergeCell ref="B30:B31"/>
    <mergeCell ref="C30:C31"/>
    <mergeCell ref="D30:D31"/>
    <mergeCell ref="E30:E31"/>
    <mergeCell ref="F30:F31"/>
    <mergeCell ref="G30:J30"/>
    <mergeCell ref="C21:F21"/>
    <mergeCell ref="G21:I21"/>
    <mergeCell ref="C22:F22"/>
    <mergeCell ref="C23:J23"/>
    <mergeCell ref="C24:F24"/>
    <mergeCell ref="C25:F25"/>
    <mergeCell ref="C16:F16"/>
    <mergeCell ref="C17:F17"/>
    <mergeCell ref="C18:F18"/>
    <mergeCell ref="C19:F19"/>
    <mergeCell ref="C20:F20"/>
    <mergeCell ref="G20:I20"/>
    <mergeCell ref="AC1:AD1"/>
    <mergeCell ref="H11:I11"/>
    <mergeCell ref="C13:F13"/>
    <mergeCell ref="I13:J13"/>
    <mergeCell ref="C14:G14"/>
    <mergeCell ref="C15:F15"/>
  </mergeCells>
  <dataValidations count="2">
    <dataValidation type="textLength" allowBlank="1" showInputMessage="1" showErrorMessage="1" promptTitle="обов'язкове" prompt="обов'язкове" sqref="AC108 AC14:AC16 AC112 AC114:AC115">
      <formula1>1</formula1>
      <formula2>200000</formula2>
    </dataValidation>
    <dataValidation type="decimal" allowBlank="1" showInputMessage="1" showErrorMessage="1" errorTitle="Очікувана вартість" error="Очікувана вартість предмета закупівлі - тілько число" sqref="AC94 AC91 AC86 AC101 AH93:AH108 AH86:AH91 AE86:AF91 AE93:AF108">
      <formula1>0</formula1>
      <formula2>1E+32</formula2>
    </dataValidation>
  </dataValidations>
  <printOptions/>
  <pageMargins left="0.1968503937007874" right="0.1968503937007874" top="0.3937007874015748" bottom="0.31496062992125984" header="0.1968503937007874" footer="0.1968503937007874"/>
  <pageSetup orientation="portrait" paperSize="9" scale="58" r:id="rId1"/>
</worksheet>
</file>

<file path=xl/worksheets/sheet5.xml><?xml version="1.0" encoding="utf-8"?>
<worksheet xmlns="http://schemas.openxmlformats.org/spreadsheetml/2006/main" xmlns:r="http://schemas.openxmlformats.org/officeDocument/2006/relationships">
  <dimension ref="A1:O115"/>
  <sheetViews>
    <sheetView zoomScale="90" zoomScaleNormal="90" zoomScalePageLayoutView="0" workbookViewId="0" topLeftCell="A1">
      <selection activeCell="B5" sqref="B5"/>
    </sheetView>
  </sheetViews>
  <sheetFormatPr defaultColWidth="9.140625" defaultRowHeight="15"/>
  <cols>
    <col min="1" max="1" width="12.140625" style="0" bestFit="1" customWidth="1"/>
    <col min="2" max="2" width="64.57421875" style="0" customWidth="1"/>
    <col min="3" max="3" width="10.7109375" style="0" bestFit="1" customWidth="1"/>
    <col min="4" max="4" width="11.8515625" style="0" bestFit="1" customWidth="1"/>
    <col min="5" max="5" width="10.140625" style="53" bestFit="1" customWidth="1"/>
    <col min="6" max="6" width="9.00390625" style="53" bestFit="1" customWidth="1"/>
    <col min="7" max="8" width="13.57421875" style="53" customWidth="1"/>
    <col min="10" max="10" width="25.7109375" style="0" bestFit="1" customWidth="1"/>
    <col min="11" max="11" width="24.28125" style="0" customWidth="1"/>
    <col min="12" max="12" width="12.00390625" style="0" customWidth="1"/>
    <col min="13" max="13" width="18.140625" style="0" customWidth="1"/>
    <col min="14" max="14" width="11.57421875" style="0" customWidth="1"/>
  </cols>
  <sheetData>
    <row r="1" spans="1:12" ht="38.25" customHeight="1">
      <c r="A1" s="373" t="s">
        <v>662</v>
      </c>
      <c r="B1" s="373"/>
      <c r="C1" s="373"/>
      <c r="D1" s="373"/>
      <c r="E1" s="373"/>
      <c r="F1" s="61"/>
      <c r="G1" s="61"/>
      <c r="H1" s="61"/>
      <c r="J1" s="79">
        <v>11436381</v>
      </c>
      <c r="L1">
        <f>J1-E91</f>
        <v>9112331</v>
      </c>
    </row>
    <row r="2" spans="1:12" ht="22.5">
      <c r="A2" s="71"/>
      <c r="B2" s="71"/>
      <c r="C2" s="71" t="s">
        <v>356</v>
      </c>
      <c r="D2" s="71" t="s">
        <v>357</v>
      </c>
      <c r="E2" s="71"/>
      <c r="F2" s="252"/>
      <c r="G2" s="252"/>
      <c r="H2" s="252"/>
      <c r="J2" s="79">
        <v>2164780</v>
      </c>
      <c r="K2" t="s">
        <v>372</v>
      </c>
      <c r="L2">
        <v>9000000</v>
      </c>
    </row>
    <row r="3" spans="1:12" ht="22.5">
      <c r="A3" s="35" t="s">
        <v>782</v>
      </c>
      <c r="B3" s="35" t="s">
        <v>783</v>
      </c>
      <c r="C3" s="26">
        <v>28.57</v>
      </c>
      <c r="D3" s="26">
        <v>7000</v>
      </c>
      <c r="E3" s="27">
        <f>C3*D3+10</f>
        <v>200000</v>
      </c>
      <c r="F3" s="253">
        <f aca="true" t="shared" si="0" ref="F3:F8">E3*2</f>
        <v>400000</v>
      </c>
      <c r="G3" s="280">
        <v>400000</v>
      </c>
      <c r="H3" s="253" t="s">
        <v>695</v>
      </c>
      <c r="J3" s="79">
        <f>(J1-J2)/5</f>
        <v>1854320.2</v>
      </c>
      <c r="L3">
        <f>L1-L2</f>
        <v>112331</v>
      </c>
    </row>
    <row r="4" spans="1:8" ht="15.75">
      <c r="A4" s="25" t="s">
        <v>160</v>
      </c>
      <c r="B4" s="25" t="s">
        <v>611</v>
      </c>
      <c r="C4" s="26"/>
      <c r="D4" s="26"/>
      <c r="E4" s="27">
        <v>2000</v>
      </c>
      <c r="F4" s="253">
        <f t="shared" si="0"/>
        <v>4000</v>
      </c>
      <c r="G4" s="280">
        <v>4000</v>
      </c>
      <c r="H4" s="253"/>
    </row>
    <row r="5" spans="1:8" ht="31.5">
      <c r="A5" s="35" t="s">
        <v>167</v>
      </c>
      <c r="B5" s="35" t="s">
        <v>274</v>
      </c>
      <c r="C5" s="26"/>
      <c r="D5" s="26"/>
      <c r="E5" s="27">
        <v>3000</v>
      </c>
      <c r="F5" s="253">
        <f t="shared" si="0"/>
        <v>6000</v>
      </c>
      <c r="G5" s="280">
        <v>6000</v>
      </c>
      <c r="H5" s="253"/>
    </row>
    <row r="6" spans="1:8" ht="15.75">
      <c r="A6" s="35" t="s">
        <v>170</v>
      </c>
      <c r="B6" s="35" t="s">
        <v>171</v>
      </c>
      <c r="C6" s="26"/>
      <c r="D6" s="26"/>
      <c r="E6" s="27">
        <v>500</v>
      </c>
      <c r="F6" s="253">
        <f t="shared" si="0"/>
        <v>1000</v>
      </c>
      <c r="G6" s="280">
        <v>1000</v>
      </c>
      <c r="H6" s="253"/>
    </row>
    <row r="7" spans="1:8" ht="15.75">
      <c r="A7" s="25" t="s">
        <v>704</v>
      </c>
      <c r="B7" s="25" t="s">
        <v>705</v>
      </c>
      <c r="C7" s="37"/>
      <c r="D7" s="37"/>
      <c r="E7" s="40">
        <f>30000-15000</f>
        <v>15000</v>
      </c>
      <c r="F7" s="253">
        <f t="shared" si="0"/>
        <v>30000</v>
      </c>
      <c r="G7" s="280">
        <v>30000</v>
      </c>
      <c r="H7" s="253"/>
    </row>
    <row r="8" spans="1:8" ht="15.75">
      <c r="A8" s="25" t="s">
        <v>706</v>
      </c>
      <c r="B8" s="25" t="s">
        <v>709</v>
      </c>
      <c r="C8" s="37"/>
      <c r="D8" s="37"/>
      <c r="E8" s="27">
        <v>20000</v>
      </c>
      <c r="F8" s="253">
        <f t="shared" si="0"/>
        <v>40000</v>
      </c>
      <c r="G8" s="280">
        <v>5000</v>
      </c>
      <c r="H8" s="253"/>
    </row>
    <row r="9" spans="1:10" ht="15.75">
      <c r="A9" s="25" t="s">
        <v>217</v>
      </c>
      <c r="B9" s="25" t="s">
        <v>708</v>
      </c>
      <c r="C9" s="37"/>
      <c r="D9" s="37"/>
      <c r="E9" s="27"/>
      <c r="F9" s="253"/>
      <c r="G9" s="280">
        <v>30500</v>
      </c>
      <c r="H9" s="253"/>
      <c r="J9" s="284"/>
    </row>
    <row r="10" spans="1:10" ht="15.75">
      <c r="A10" s="25" t="s">
        <v>707</v>
      </c>
      <c r="B10" s="25" t="s">
        <v>710</v>
      </c>
      <c r="C10" s="37"/>
      <c r="D10" s="37"/>
      <c r="E10" s="27"/>
      <c r="F10" s="253"/>
      <c r="G10" s="280">
        <v>5000</v>
      </c>
      <c r="H10" s="253"/>
      <c r="J10" s="284"/>
    </row>
    <row r="11" spans="1:8" ht="31.5">
      <c r="A11" s="25" t="s">
        <v>711</v>
      </c>
      <c r="B11" s="25" t="s">
        <v>778</v>
      </c>
      <c r="C11" s="26"/>
      <c r="D11" s="26"/>
      <c r="E11" s="27">
        <v>20000</v>
      </c>
      <c r="F11" s="253">
        <f>E11*2</f>
        <v>40000</v>
      </c>
      <c r="G11" s="280">
        <v>45000</v>
      </c>
      <c r="H11" s="253"/>
    </row>
    <row r="12" spans="1:8" ht="31.5">
      <c r="A12" s="25" t="s">
        <v>712</v>
      </c>
      <c r="B12" s="25" t="s">
        <v>779</v>
      </c>
      <c r="C12" s="26"/>
      <c r="D12" s="26"/>
      <c r="E12" s="27"/>
      <c r="F12" s="253"/>
      <c r="G12" s="280">
        <v>45000</v>
      </c>
      <c r="H12" s="253"/>
    </row>
    <row r="13" spans="1:8" ht="15.75">
      <c r="A13" s="25" t="s">
        <v>713</v>
      </c>
      <c r="B13" s="25" t="s">
        <v>179</v>
      </c>
      <c r="C13" s="26"/>
      <c r="D13" s="26">
        <v>1930</v>
      </c>
      <c r="E13" s="40">
        <f>30000-15000</f>
        <v>15000</v>
      </c>
      <c r="F13" s="253">
        <f>E13*2</f>
        <v>30000</v>
      </c>
      <c r="G13" s="280">
        <v>45000</v>
      </c>
      <c r="H13" s="253"/>
    </row>
    <row r="14" spans="1:8" ht="31.5">
      <c r="A14" s="25" t="s">
        <v>714</v>
      </c>
      <c r="B14" s="25" t="s">
        <v>715</v>
      </c>
      <c r="C14" s="26"/>
      <c r="D14" s="26">
        <v>2508</v>
      </c>
      <c r="E14" s="27">
        <v>4000</v>
      </c>
      <c r="F14" s="253">
        <f>E14*2</f>
        <v>8000</v>
      </c>
      <c r="G14" s="280">
        <v>1000</v>
      </c>
      <c r="H14" s="253"/>
    </row>
    <row r="15" spans="1:8" ht="15.75">
      <c r="A15" s="25" t="s">
        <v>717</v>
      </c>
      <c r="B15" s="25" t="s">
        <v>716</v>
      </c>
      <c r="C15" s="26"/>
      <c r="D15" s="26"/>
      <c r="E15" s="27">
        <v>1000</v>
      </c>
      <c r="F15" s="253">
        <f>E15*2</f>
        <v>2000</v>
      </c>
      <c r="G15" s="280">
        <v>2000</v>
      </c>
      <c r="H15" s="253"/>
    </row>
    <row r="16" spans="1:8" ht="15.75">
      <c r="A16" s="25" t="s">
        <v>753</v>
      </c>
      <c r="B16" s="25" t="s">
        <v>754</v>
      </c>
      <c r="C16" s="26"/>
      <c r="D16" s="26"/>
      <c r="E16" s="27"/>
      <c r="F16" s="253"/>
      <c r="G16" s="280">
        <v>500</v>
      </c>
      <c r="H16" s="253"/>
    </row>
    <row r="17" spans="1:8" ht="15.75">
      <c r="A17" s="25" t="s">
        <v>326</v>
      </c>
      <c r="B17" s="25" t="s">
        <v>325</v>
      </c>
      <c r="C17" s="26"/>
      <c r="D17" s="26"/>
      <c r="E17" s="27"/>
      <c r="F17" s="253"/>
      <c r="G17" s="280">
        <v>7000</v>
      </c>
      <c r="H17" s="253"/>
    </row>
    <row r="18" spans="1:8" ht="15.75">
      <c r="A18" s="25" t="s">
        <v>720</v>
      </c>
      <c r="B18" s="25" t="s">
        <v>721</v>
      </c>
      <c r="C18" s="26"/>
      <c r="D18" s="26"/>
      <c r="E18" s="27"/>
      <c r="F18" s="253"/>
      <c r="G18" s="280">
        <v>3000</v>
      </c>
      <c r="H18" s="253"/>
    </row>
    <row r="19" spans="1:8" ht="15.75">
      <c r="A19" s="25" t="s">
        <v>718</v>
      </c>
      <c r="B19" s="25" t="s">
        <v>719</v>
      </c>
      <c r="C19" s="26"/>
      <c r="D19" s="26"/>
      <c r="E19" s="27"/>
      <c r="F19" s="253"/>
      <c r="G19" s="280">
        <v>3000</v>
      </c>
      <c r="H19" s="253"/>
    </row>
    <row r="20" spans="1:8" ht="15.75">
      <c r="A20" s="25" t="s">
        <v>186</v>
      </c>
      <c r="B20" s="25" t="s">
        <v>187</v>
      </c>
      <c r="C20" s="26"/>
      <c r="D20" s="26"/>
      <c r="E20" s="27">
        <v>2000</v>
      </c>
      <c r="F20" s="253">
        <f>E20*2</f>
        <v>4000</v>
      </c>
      <c r="G20" s="280">
        <v>4000</v>
      </c>
      <c r="H20" s="253"/>
    </row>
    <row r="21" spans="1:8" ht="15.75">
      <c r="A21" s="25" t="s">
        <v>722</v>
      </c>
      <c r="B21" s="25" t="s">
        <v>723</v>
      </c>
      <c r="C21" s="26"/>
      <c r="D21" s="26"/>
      <c r="E21" s="27">
        <v>20000</v>
      </c>
      <c r="F21" s="269">
        <f>E21*2</f>
        <v>40000</v>
      </c>
      <c r="G21" s="280">
        <v>10000</v>
      </c>
      <c r="H21" s="253"/>
    </row>
    <row r="22" spans="1:8" ht="15.75">
      <c r="A22" s="25" t="s">
        <v>724</v>
      </c>
      <c r="B22" s="25" t="s">
        <v>725</v>
      </c>
      <c r="C22" s="26"/>
      <c r="D22" s="26"/>
      <c r="E22" s="27"/>
      <c r="F22" s="253"/>
      <c r="G22" s="280">
        <v>10000</v>
      </c>
      <c r="H22" s="253"/>
    </row>
    <row r="23" spans="1:8" ht="31.5">
      <c r="A23" s="25" t="s">
        <v>726</v>
      </c>
      <c r="B23" s="25" t="s">
        <v>727</v>
      </c>
      <c r="C23" s="26"/>
      <c r="D23" s="26"/>
      <c r="E23" s="27"/>
      <c r="F23" s="253"/>
      <c r="G23" s="280">
        <v>10000</v>
      </c>
      <c r="H23" s="253"/>
    </row>
    <row r="24" spans="1:8" ht="15.75">
      <c r="A24" s="25" t="s">
        <v>728</v>
      </c>
      <c r="B24" s="25" t="s">
        <v>729</v>
      </c>
      <c r="C24" s="26"/>
      <c r="D24" s="26"/>
      <c r="E24" s="27"/>
      <c r="F24" s="253"/>
      <c r="G24" s="280">
        <v>25000</v>
      </c>
      <c r="H24" s="253"/>
    </row>
    <row r="25" spans="1:8" ht="15.75">
      <c r="A25" s="25" t="s">
        <v>190</v>
      </c>
      <c r="B25" s="25" t="s">
        <v>191</v>
      </c>
      <c r="C25" s="26"/>
      <c r="D25" s="26"/>
      <c r="E25" s="27">
        <v>5000</v>
      </c>
      <c r="F25" s="253">
        <f>E25*2</f>
        <v>10000</v>
      </c>
      <c r="G25" s="280">
        <v>5000</v>
      </c>
      <c r="H25" s="253"/>
    </row>
    <row r="26" spans="1:8" ht="15.75">
      <c r="A26" s="25" t="s">
        <v>689</v>
      </c>
      <c r="B26" s="25" t="s">
        <v>751</v>
      </c>
      <c r="C26" s="26"/>
      <c r="D26" s="26"/>
      <c r="E26" s="27"/>
      <c r="F26" s="253"/>
      <c r="G26" s="280">
        <v>1000</v>
      </c>
      <c r="H26" s="253"/>
    </row>
    <row r="27" spans="1:8" ht="15.75">
      <c r="A27" s="25" t="s">
        <v>730</v>
      </c>
      <c r="B27" s="25" t="s">
        <v>731</v>
      </c>
      <c r="C27" s="26"/>
      <c r="D27" s="26"/>
      <c r="E27" s="40"/>
      <c r="F27" s="253"/>
      <c r="G27" s="280">
        <v>45000</v>
      </c>
      <c r="H27" s="253"/>
    </row>
    <row r="28" spans="1:8" ht="15.75">
      <c r="A28" s="25" t="s">
        <v>732</v>
      </c>
      <c r="B28" s="25" t="s">
        <v>733</v>
      </c>
      <c r="C28" s="26"/>
      <c r="D28" s="26"/>
      <c r="E28" s="40"/>
      <c r="F28" s="253"/>
      <c r="G28" s="280">
        <v>120000</v>
      </c>
      <c r="H28" s="253"/>
    </row>
    <row r="29" spans="1:8" ht="15.75">
      <c r="A29" s="25" t="s">
        <v>734</v>
      </c>
      <c r="B29" s="25" t="s">
        <v>735</v>
      </c>
      <c r="C29" s="26"/>
      <c r="D29" s="26"/>
      <c r="E29" s="40"/>
      <c r="F29" s="253"/>
      <c r="G29" s="280">
        <v>150000</v>
      </c>
      <c r="H29" s="253"/>
    </row>
    <row r="30" spans="1:8" ht="47.25">
      <c r="A30" s="25" t="s">
        <v>736</v>
      </c>
      <c r="B30" s="25" t="s">
        <v>737</v>
      </c>
      <c r="C30" s="26"/>
      <c r="D30" s="26"/>
      <c r="E30" s="27"/>
      <c r="F30" s="253"/>
      <c r="G30" s="280">
        <v>4000</v>
      </c>
      <c r="H30" s="253"/>
    </row>
    <row r="31" spans="1:8" ht="31.5">
      <c r="A31" s="25" t="s">
        <v>738</v>
      </c>
      <c r="B31" s="25" t="s">
        <v>780</v>
      </c>
      <c r="C31" s="26"/>
      <c r="D31" s="26"/>
      <c r="E31" s="27">
        <v>5000</v>
      </c>
      <c r="F31" s="253">
        <f>E31*2</f>
        <v>10000</v>
      </c>
      <c r="G31" s="280">
        <v>10000</v>
      </c>
      <c r="H31" s="253"/>
    </row>
    <row r="32" spans="1:8" ht="31.5">
      <c r="A32" s="25" t="s">
        <v>688</v>
      </c>
      <c r="B32" s="25" t="s">
        <v>752</v>
      </c>
      <c r="C32" s="26"/>
      <c r="D32" s="26"/>
      <c r="E32" s="27"/>
      <c r="F32" s="253"/>
      <c r="G32" s="280">
        <v>19000</v>
      </c>
      <c r="H32" s="253"/>
    </row>
    <row r="33" spans="1:8" ht="31.5">
      <c r="A33" s="25" t="s">
        <v>739</v>
      </c>
      <c r="B33" s="25" t="s">
        <v>740</v>
      </c>
      <c r="C33" s="26"/>
      <c r="D33" s="26"/>
      <c r="E33" s="27"/>
      <c r="F33" s="253"/>
      <c r="G33" s="280">
        <v>2000</v>
      </c>
      <c r="H33" s="253"/>
    </row>
    <row r="34" spans="1:8" ht="31.5">
      <c r="A34" s="25" t="s">
        <v>741</v>
      </c>
      <c r="B34" s="25" t="s">
        <v>742</v>
      </c>
      <c r="C34" s="26"/>
      <c r="D34" s="26"/>
      <c r="E34" s="27"/>
      <c r="F34" s="253"/>
      <c r="G34" s="280">
        <v>6000</v>
      </c>
      <c r="H34" s="253"/>
    </row>
    <row r="35" spans="1:8" ht="31.5">
      <c r="A35" s="25" t="s">
        <v>743</v>
      </c>
      <c r="B35" s="25" t="s">
        <v>781</v>
      </c>
      <c r="C35" s="26"/>
      <c r="D35" s="26"/>
      <c r="E35" s="27">
        <v>10000</v>
      </c>
      <c r="F35" s="253">
        <f>E35*2</f>
        <v>20000</v>
      </c>
      <c r="G35" s="280">
        <v>20000</v>
      </c>
      <c r="H35" s="253"/>
    </row>
    <row r="36" spans="1:8" ht="31.5">
      <c r="A36" s="25" t="s">
        <v>329</v>
      </c>
      <c r="B36" s="25" t="s">
        <v>750</v>
      </c>
      <c r="C36" s="26"/>
      <c r="D36" s="26"/>
      <c r="E36" s="27"/>
      <c r="F36" s="253"/>
      <c r="G36" s="280">
        <v>45000</v>
      </c>
      <c r="H36" s="253"/>
    </row>
    <row r="37" spans="1:8" ht="31.5">
      <c r="A37" s="25" t="s">
        <v>209</v>
      </c>
      <c r="B37" s="25" t="s">
        <v>210</v>
      </c>
      <c r="C37" s="26"/>
      <c r="D37" s="26"/>
      <c r="E37" s="27">
        <v>2000</v>
      </c>
      <c r="F37" s="253">
        <f>E37*2</f>
        <v>4000</v>
      </c>
      <c r="G37" s="280">
        <v>4000</v>
      </c>
      <c r="H37" s="253"/>
    </row>
    <row r="38" spans="1:8" ht="31.5">
      <c r="A38" s="25" t="s">
        <v>202</v>
      </c>
      <c r="B38" s="25" t="s">
        <v>203</v>
      </c>
      <c r="C38" s="26"/>
      <c r="D38" s="26"/>
      <c r="E38" s="27">
        <v>3000</v>
      </c>
      <c r="F38" s="253">
        <f>E38*2</f>
        <v>6000</v>
      </c>
      <c r="G38" s="280">
        <v>3000</v>
      </c>
      <c r="H38" s="253"/>
    </row>
    <row r="39" spans="1:8" ht="31.5">
      <c r="A39" s="25" t="s">
        <v>744</v>
      </c>
      <c r="B39" s="25" t="s">
        <v>745</v>
      </c>
      <c r="C39" s="26"/>
      <c r="D39" s="26"/>
      <c r="E39" s="27"/>
      <c r="F39" s="253"/>
      <c r="G39" s="280">
        <v>3000</v>
      </c>
      <c r="H39" s="253"/>
    </row>
    <row r="40" spans="1:8" ht="31.5">
      <c r="A40" s="25" t="s">
        <v>746</v>
      </c>
      <c r="B40" s="25" t="s">
        <v>747</v>
      </c>
      <c r="C40" s="26"/>
      <c r="D40" s="26"/>
      <c r="E40" s="27"/>
      <c r="F40" s="253"/>
      <c r="G40" s="280">
        <v>3000</v>
      </c>
      <c r="H40" s="253"/>
    </row>
    <row r="41" spans="1:8" ht="31.5">
      <c r="A41" s="25" t="s">
        <v>748</v>
      </c>
      <c r="B41" s="25" t="s">
        <v>749</v>
      </c>
      <c r="C41" s="26"/>
      <c r="D41" s="26"/>
      <c r="E41" s="27">
        <v>500</v>
      </c>
      <c r="F41" s="253">
        <f>E41*2</f>
        <v>1000</v>
      </c>
      <c r="G41" s="280">
        <v>1000</v>
      </c>
      <c r="H41" s="253"/>
    </row>
    <row r="42" spans="1:8" ht="15.75">
      <c r="A42" s="393" t="s">
        <v>212</v>
      </c>
      <c r="B42" s="394"/>
      <c r="C42" s="26"/>
      <c r="D42" s="26"/>
      <c r="E42" s="41">
        <f>SUM(E3:E41)</f>
        <v>328000</v>
      </c>
      <c r="F42" s="44">
        <f>SUM(F3:F41)</f>
        <v>656000</v>
      </c>
      <c r="G42" s="44">
        <f>SUM(G3:G41)</f>
        <v>1133000</v>
      </c>
      <c r="H42" s="44"/>
    </row>
    <row r="43" spans="1:8" ht="15.75">
      <c r="A43" s="42"/>
      <c r="B43" s="43"/>
      <c r="C43" s="42"/>
      <c r="D43" s="42"/>
      <c r="E43" s="44"/>
      <c r="F43" s="44"/>
      <c r="G43" s="44"/>
      <c r="H43" s="44"/>
    </row>
    <row r="44" spans="1:8" ht="18.75">
      <c r="A44" s="373" t="s">
        <v>663</v>
      </c>
      <c r="B44" s="373"/>
      <c r="C44" s="373"/>
      <c r="D44" s="373"/>
      <c r="E44" s="373"/>
      <c r="F44" s="61"/>
      <c r="G44" s="61"/>
      <c r="H44" s="61"/>
    </row>
    <row r="45" spans="1:8" ht="18.75">
      <c r="A45" s="374"/>
      <c r="B45" s="374"/>
      <c r="C45" s="374"/>
      <c r="D45" s="374"/>
      <c r="E45" s="374"/>
      <c r="F45" s="70"/>
      <c r="G45" s="70"/>
      <c r="H45" s="70"/>
    </row>
    <row r="46" spans="1:8" ht="31.5">
      <c r="A46" s="25" t="s">
        <v>755</v>
      </c>
      <c r="B46" s="25" t="s">
        <v>756</v>
      </c>
      <c r="C46" s="35"/>
      <c r="D46" s="35"/>
      <c r="E46" s="47">
        <v>5000</v>
      </c>
      <c r="F46" s="254">
        <f>E46*2</f>
        <v>10000</v>
      </c>
      <c r="G46" s="276">
        <v>10000</v>
      </c>
      <c r="H46" s="254"/>
    </row>
    <row r="47" spans="1:8" ht="31.5">
      <c r="A47" s="25" t="s">
        <v>757</v>
      </c>
      <c r="B47" s="25" t="s">
        <v>758</v>
      </c>
      <c r="C47" s="25"/>
      <c r="D47" s="25"/>
      <c r="E47" s="47">
        <v>2000</v>
      </c>
      <c r="F47" s="254">
        <f>E47*2</f>
        <v>4000</v>
      </c>
      <c r="G47" s="276">
        <v>4000</v>
      </c>
      <c r="H47" s="254"/>
    </row>
    <row r="48" spans="1:8" ht="31.5">
      <c r="A48" s="25" t="s">
        <v>333</v>
      </c>
      <c r="B48" s="25" t="s">
        <v>332</v>
      </c>
      <c r="C48" s="25"/>
      <c r="D48" s="25"/>
      <c r="E48" s="49">
        <v>2000</v>
      </c>
      <c r="F48" s="254">
        <f>E48*2</f>
        <v>4000</v>
      </c>
      <c r="G48" s="276">
        <v>4000</v>
      </c>
      <c r="H48" s="254"/>
    </row>
    <row r="49" spans="1:12" ht="31.5">
      <c r="A49" s="25" t="s">
        <v>759</v>
      </c>
      <c r="B49" s="25" t="s">
        <v>760</v>
      </c>
      <c r="C49" s="25"/>
      <c r="D49" s="25"/>
      <c r="E49" s="49">
        <v>25000</v>
      </c>
      <c r="F49" s="254">
        <f>E49*2</f>
        <v>50000</v>
      </c>
      <c r="G49" s="276">
        <v>37000</v>
      </c>
      <c r="H49" s="254"/>
      <c r="J49" s="281"/>
      <c r="K49" s="281"/>
      <c r="L49" s="281"/>
    </row>
    <row r="50" spans="1:12" ht="31.5">
      <c r="A50" s="25" t="s">
        <v>763</v>
      </c>
      <c r="B50" s="25" t="s">
        <v>764</v>
      </c>
      <c r="C50" s="25"/>
      <c r="D50" s="25"/>
      <c r="E50" s="49"/>
      <c r="F50" s="254"/>
      <c r="G50" s="276">
        <v>150000</v>
      </c>
      <c r="H50" s="254"/>
      <c r="J50" s="281"/>
      <c r="K50" s="281"/>
      <c r="L50" s="281"/>
    </row>
    <row r="51" spans="1:12" ht="47.25">
      <c r="A51" s="25" t="s">
        <v>761</v>
      </c>
      <c r="B51" s="25" t="s">
        <v>762</v>
      </c>
      <c r="C51" s="25"/>
      <c r="D51" s="25"/>
      <c r="E51" s="49"/>
      <c r="F51" s="254"/>
      <c r="G51" s="276">
        <v>150000</v>
      </c>
      <c r="H51" s="254"/>
      <c r="J51" s="281"/>
      <c r="K51" s="281"/>
      <c r="L51" s="281"/>
    </row>
    <row r="52" spans="1:12" ht="47.25">
      <c r="A52" s="25" t="s">
        <v>765</v>
      </c>
      <c r="B52" s="25" t="s">
        <v>766</v>
      </c>
      <c r="C52" s="25"/>
      <c r="D52" s="25"/>
      <c r="E52" s="49"/>
      <c r="F52" s="254"/>
      <c r="G52" s="276">
        <v>150000</v>
      </c>
      <c r="H52" s="254"/>
      <c r="J52" s="281"/>
      <c r="K52" s="281"/>
      <c r="L52" s="281"/>
    </row>
    <row r="53" spans="1:12" ht="362.25">
      <c r="A53" s="25" t="s">
        <v>266</v>
      </c>
      <c r="B53" s="25" t="s">
        <v>607</v>
      </c>
      <c r="C53" s="50"/>
      <c r="D53" s="50"/>
      <c r="E53" s="126">
        <f>150000-50000</f>
        <v>100000</v>
      </c>
      <c r="F53" s="254">
        <f>E53*2</f>
        <v>200000</v>
      </c>
      <c r="G53" s="276">
        <v>199000</v>
      </c>
      <c r="H53" s="254"/>
      <c r="J53" s="281"/>
      <c r="K53" s="281"/>
      <c r="L53" s="281"/>
    </row>
    <row r="54" spans="1:12" ht="31.5">
      <c r="A54" s="25" t="s">
        <v>767</v>
      </c>
      <c r="B54" s="25" t="s">
        <v>768</v>
      </c>
      <c r="C54" s="25"/>
      <c r="D54" s="25"/>
      <c r="E54" s="49">
        <v>5000</v>
      </c>
      <c r="F54" s="254">
        <f>E54*2</f>
        <v>10000</v>
      </c>
      <c r="G54" s="276">
        <v>10000</v>
      </c>
      <c r="H54" s="254"/>
      <c r="J54" s="281"/>
      <c r="K54" s="281"/>
      <c r="L54" s="281"/>
    </row>
    <row r="55" spans="1:12" ht="15.75">
      <c r="A55" s="25"/>
      <c r="B55" s="274"/>
      <c r="C55" s="274"/>
      <c r="D55" s="274"/>
      <c r="E55" s="49"/>
      <c r="F55" s="254"/>
      <c r="G55" s="254"/>
      <c r="H55" s="254"/>
      <c r="J55" s="281"/>
      <c r="K55" s="281"/>
      <c r="L55" s="281"/>
    </row>
    <row r="56" spans="1:12" ht="15.75">
      <c r="A56" s="25"/>
      <c r="B56" s="25"/>
      <c r="C56" s="25"/>
      <c r="D56" s="25"/>
      <c r="E56" s="49">
        <v>125000</v>
      </c>
      <c r="F56" s="254">
        <f>E56*2</f>
        <v>250000</v>
      </c>
      <c r="G56" s="254"/>
      <c r="H56" s="254"/>
      <c r="J56" s="281"/>
      <c r="K56" s="281"/>
      <c r="L56" s="281"/>
    </row>
    <row r="57" spans="1:12" ht="15.75">
      <c r="A57" s="397" t="s">
        <v>212</v>
      </c>
      <c r="B57" s="398"/>
      <c r="C57" s="51"/>
      <c r="D57" s="51"/>
      <c r="E57" s="52">
        <f>SUM(E46:E56)</f>
        <v>264000</v>
      </c>
      <c r="F57" s="74">
        <f>SUM(F46:F56)</f>
        <v>528000</v>
      </c>
      <c r="G57" s="74">
        <f>SUM(G46:G56)</f>
        <v>714000</v>
      </c>
      <c r="H57" s="74"/>
      <c r="J57" s="281"/>
      <c r="K57" s="281"/>
      <c r="L57" s="281"/>
    </row>
    <row r="58" spans="10:12" ht="15.75">
      <c r="J58" s="281"/>
      <c r="K58" s="281"/>
      <c r="L58" s="281"/>
    </row>
    <row r="59" spans="1:4" ht="18.75">
      <c r="A59" s="373" t="s">
        <v>664</v>
      </c>
      <c r="B59" s="373"/>
      <c r="C59" s="61"/>
      <c r="D59" s="61"/>
    </row>
    <row r="60" spans="1:4" ht="18.75">
      <c r="A60" s="374"/>
      <c r="B60" s="374"/>
      <c r="C60" s="70"/>
      <c r="D60" s="70"/>
    </row>
    <row r="61" spans="1:11" ht="31.5">
      <c r="A61" s="21" t="s">
        <v>343</v>
      </c>
      <c r="B61" s="248" t="s">
        <v>769</v>
      </c>
      <c r="C61" s="49"/>
      <c r="D61" s="49"/>
      <c r="E61" s="126">
        <f>300000-64000-1300-134700</f>
        <v>100000</v>
      </c>
      <c r="F61" s="83">
        <v>300000</v>
      </c>
      <c r="G61" s="276">
        <v>570000</v>
      </c>
      <c r="H61" s="83"/>
      <c r="J61" s="21">
        <v>470223</v>
      </c>
      <c r="K61" s="21" t="s">
        <v>448</v>
      </c>
    </row>
    <row r="62" spans="1:10" ht="32.25" thickBot="1">
      <c r="A62" s="21" t="s">
        <v>155</v>
      </c>
      <c r="B62" s="248" t="s">
        <v>358</v>
      </c>
      <c r="C62" s="49"/>
      <c r="D62" s="49"/>
      <c r="E62" s="49">
        <v>199000</v>
      </c>
      <c r="F62" s="83">
        <v>199000</v>
      </c>
      <c r="G62" s="276">
        <v>199000</v>
      </c>
      <c r="H62" s="83"/>
      <c r="J62">
        <v>253700</v>
      </c>
    </row>
    <row r="63" spans="1:14" ht="32.25" thickBot="1">
      <c r="A63" s="21" t="s">
        <v>229</v>
      </c>
      <c r="B63" s="248" t="s">
        <v>230</v>
      </c>
      <c r="C63" s="49"/>
      <c r="D63" s="49"/>
      <c r="E63" s="49">
        <v>5000</v>
      </c>
      <c r="F63" s="83">
        <f>E63*2</f>
        <v>10000</v>
      </c>
      <c r="G63" s="276">
        <v>30000</v>
      </c>
      <c r="H63" s="83"/>
      <c r="J63">
        <f>J61-J62</f>
        <v>216523</v>
      </c>
      <c r="M63" s="204"/>
      <c r="N63" s="204"/>
    </row>
    <row r="64" spans="1:8" ht="31.5">
      <c r="A64" s="21" t="s">
        <v>153</v>
      </c>
      <c r="B64" s="248" t="s">
        <v>154</v>
      </c>
      <c r="C64" s="49"/>
      <c r="D64" s="49"/>
      <c r="E64" s="126">
        <f>25000+484-150+0.08</f>
        <v>25334.08</v>
      </c>
      <c r="F64" s="83">
        <v>50999</v>
      </c>
      <c r="G64" s="276">
        <v>49000</v>
      </c>
      <c r="H64" s="83"/>
    </row>
    <row r="65" spans="1:10" ht="78.75">
      <c r="A65" s="21" t="s">
        <v>594</v>
      </c>
      <c r="B65" s="248" t="s">
        <v>593</v>
      </c>
      <c r="C65" s="49"/>
      <c r="D65" s="49"/>
      <c r="E65" s="49">
        <v>7000</v>
      </c>
      <c r="F65" s="83">
        <f>E65*2</f>
        <v>14000</v>
      </c>
      <c r="G65" s="276">
        <v>25000</v>
      </c>
      <c r="H65" s="83"/>
      <c r="J65" s="21">
        <f>E61+E64</f>
        <v>125334.08</v>
      </c>
    </row>
    <row r="66" spans="1:8" ht="31.5">
      <c r="A66" s="21" t="s">
        <v>339</v>
      </c>
      <c r="B66" s="248" t="s">
        <v>338</v>
      </c>
      <c r="C66" s="49"/>
      <c r="D66" s="49"/>
      <c r="E66" s="49">
        <v>2000</v>
      </c>
      <c r="F66" s="83">
        <v>6000</v>
      </c>
      <c r="G66" s="276">
        <v>6000</v>
      </c>
      <c r="H66" s="83"/>
    </row>
    <row r="67" spans="1:8" ht="31.5">
      <c r="A67" s="21" t="s">
        <v>231</v>
      </c>
      <c r="B67" s="248" t="s">
        <v>232</v>
      </c>
      <c r="C67" s="49">
        <f>3150*6</f>
        <v>18900</v>
      </c>
      <c r="D67" s="49"/>
      <c r="E67" s="49">
        <v>18900</v>
      </c>
      <c r="F67" s="83">
        <f>E67*2</f>
        <v>37800</v>
      </c>
      <c r="G67" s="276">
        <v>100000</v>
      </c>
      <c r="H67" s="83"/>
    </row>
    <row r="68" spans="1:8" ht="31.5">
      <c r="A68" s="21" t="s">
        <v>345</v>
      </c>
      <c r="B68" s="248" t="s">
        <v>344</v>
      </c>
      <c r="C68" s="49">
        <f>200*6</f>
        <v>1200</v>
      </c>
      <c r="D68" s="49"/>
      <c r="E68" s="49">
        <f>1200+1300</f>
        <v>2500</v>
      </c>
      <c r="F68" s="83">
        <v>8000</v>
      </c>
      <c r="G68" s="276">
        <v>8000</v>
      </c>
      <c r="H68" s="83"/>
    </row>
    <row r="69" spans="1:8" ht="31.5">
      <c r="A69" s="21" t="s">
        <v>341</v>
      </c>
      <c r="B69" s="248" t="s">
        <v>340</v>
      </c>
      <c r="C69" s="49">
        <f>700*6</f>
        <v>4200</v>
      </c>
      <c r="D69" s="49"/>
      <c r="E69" s="49">
        <v>4200</v>
      </c>
      <c r="F69" s="83">
        <v>4200</v>
      </c>
      <c r="G69" s="276">
        <v>4200</v>
      </c>
      <c r="H69" s="83"/>
    </row>
    <row r="70" spans="1:8" ht="31.5">
      <c r="A70" s="21" t="s">
        <v>233</v>
      </c>
      <c r="B70" s="248" t="s">
        <v>234</v>
      </c>
      <c r="C70" s="49">
        <f>1950*6</f>
        <v>11700</v>
      </c>
      <c r="D70" s="49"/>
      <c r="E70" s="49">
        <v>11700</v>
      </c>
      <c r="F70" s="83">
        <f>E70*2</f>
        <v>23400</v>
      </c>
      <c r="G70" s="276">
        <v>22800</v>
      </c>
      <c r="H70" s="83"/>
    </row>
    <row r="71" spans="1:8" ht="31.5">
      <c r="A71" s="21" t="s">
        <v>349</v>
      </c>
      <c r="B71" s="248" t="s">
        <v>348</v>
      </c>
      <c r="C71" s="49"/>
      <c r="D71" s="49"/>
      <c r="E71" s="126">
        <v>103477</v>
      </c>
      <c r="F71" s="83">
        <v>250000</v>
      </c>
      <c r="G71" s="276">
        <v>40000</v>
      </c>
      <c r="H71" s="83"/>
    </row>
    <row r="72" spans="1:8" ht="31.5">
      <c r="A72" s="21" t="s">
        <v>151</v>
      </c>
      <c r="B72" s="248" t="s">
        <v>152</v>
      </c>
      <c r="C72" s="49">
        <f>1285.82*6</f>
        <v>7714.92</v>
      </c>
      <c r="D72" s="49"/>
      <c r="E72" s="49">
        <v>7714.92</v>
      </c>
      <c r="F72" s="83">
        <v>20000</v>
      </c>
      <c r="G72" s="276">
        <v>20000</v>
      </c>
      <c r="H72" s="83"/>
    </row>
    <row r="73" spans="1:8" ht="31.5">
      <c r="A73" s="283" t="s">
        <v>770</v>
      </c>
      <c r="B73" s="283" t="s">
        <v>784</v>
      </c>
      <c r="C73" s="49"/>
      <c r="D73" s="49"/>
      <c r="E73" s="49">
        <v>1</v>
      </c>
      <c r="F73" s="83">
        <v>1</v>
      </c>
      <c r="G73" s="276">
        <v>10000</v>
      </c>
      <c r="H73" s="83"/>
    </row>
    <row r="74" spans="1:8" ht="15.75">
      <c r="A74" s="397" t="s">
        <v>212</v>
      </c>
      <c r="B74" s="398"/>
      <c r="C74" s="55"/>
      <c r="D74" s="55"/>
      <c r="E74" s="52">
        <f>SUM(E61:E73)</f>
        <v>486827</v>
      </c>
      <c r="F74" s="74">
        <f>SUM(F61:F73)</f>
        <v>923400</v>
      </c>
      <c r="G74" s="74">
        <f>SUM(G61:G73)</f>
        <v>1084000</v>
      </c>
      <c r="H74" s="74"/>
    </row>
    <row r="75" spans="1:14" ht="15.75">
      <c r="A75" s="72"/>
      <c r="B75" s="72"/>
      <c r="C75" s="73"/>
      <c r="D75" s="73"/>
      <c r="E75" s="74"/>
      <c r="F75" s="74"/>
      <c r="G75" s="74"/>
      <c r="H75" s="74"/>
      <c r="J75" s="82" t="s">
        <v>373</v>
      </c>
      <c r="K75" s="82"/>
      <c r="L75" s="82"/>
      <c r="M75" s="82"/>
      <c r="N75" s="82"/>
    </row>
    <row r="76" spans="1:14" ht="18.75">
      <c r="A76" s="373" t="s">
        <v>665</v>
      </c>
      <c r="B76" s="373"/>
      <c r="C76" s="73"/>
      <c r="D76" s="73"/>
      <c r="E76" s="74"/>
      <c r="F76" s="74"/>
      <c r="G76" s="74"/>
      <c r="H76" s="74"/>
      <c r="J76" s="80" t="s">
        <v>374</v>
      </c>
      <c r="K76" s="80" t="s">
        <v>375</v>
      </c>
      <c r="L76" s="81" t="s">
        <v>376</v>
      </c>
      <c r="M76" s="81" t="s">
        <v>377</v>
      </c>
      <c r="N76" s="81" t="s">
        <v>378</v>
      </c>
    </row>
    <row r="77" spans="1:14" ht="31.5">
      <c r="A77" s="21" t="s">
        <v>249</v>
      </c>
      <c r="B77" s="248" t="s">
        <v>248</v>
      </c>
      <c r="C77" s="49"/>
      <c r="D77" s="49"/>
      <c r="E77" s="49">
        <v>30000</v>
      </c>
      <c r="F77" s="83">
        <f>E77*2</f>
        <v>60000</v>
      </c>
      <c r="G77" s="276">
        <v>30000</v>
      </c>
      <c r="H77" s="83"/>
      <c r="J77" s="80" t="s">
        <v>380</v>
      </c>
      <c r="K77" s="80" t="s">
        <v>381</v>
      </c>
      <c r="L77" s="80">
        <v>500</v>
      </c>
      <c r="M77" s="80" t="s">
        <v>382</v>
      </c>
      <c r="N77" s="80">
        <v>5</v>
      </c>
    </row>
    <row r="78" spans="1:14" ht="18.75">
      <c r="A78" s="455" t="s">
        <v>666</v>
      </c>
      <c r="B78" s="455"/>
      <c r="C78" s="214"/>
      <c r="D78" s="214"/>
      <c r="E78" s="215"/>
      <c r="F78" s="215"/>
      <c r="G78" s="215"/>
      <c r="H78" s="215"/>
      <c r="J78" s="80" t="s">
        <v>383</v>
      </c>
      <c r="K78" s="80" t="s">
        <v>384</v>
      </c>
      <c r="L78" s="80">
        <v>30</v>
      </c>
      <c r="M78" s="80" t="s">
        <v>382</v>
      </c>
      <c r="N78" s="80">
        <v>6</v>
      </c>
    </row>
    <row r="79" spans="1:14" ht="15.75">
      <c r="A79" s="216"/>
      <c r="B79" s="217" t="s">
        <v>450</v>
      </c>
      <c r="C79" s="218"/>
      <c r="D79" s="218"/>
      <c r="E79" s="218">
        <v>3000</v>
      </c>
      <c r="F79" s="256">
        <v>8000</v>
      </c>
      <c r="G79" s="276">
        <v>8000</v>
      </c>
      <c r="H79" s="256"/>
      <c r="J79" s="80"/>
      <c r="K79" s="80"/>
      <c r="L79" s="80"/>
      <c r="M79" s="80"/>
      <c r="N79" s="80"/>
    </row>
    <row r="80" spans="1:14" ht="18.75">
      <c r="A80" s="455" t="s">
        <v>667</v>
      </c>
      <c r="B80" s="455"/>
      <c r="C80" s="218"/>
      <c r="D80" s="218"/>
      <c r="E80" s="49"/>
      <c r="F80" s="83"/>
      <c r="G80" s="83"/>
      <c r="H80" s="83"/>
      <c r="J80" s="80"/>
      <c r="K80" s="80"/>
      <c r="L80" s="80"/>
      <c r="M80" s="80"/>
      <c r="N80" s="80"/>
    </row>
    <row r="81" spans="1:14" ht="15.75">
      <c r="A81" s="216"/>
      <c r="B81" s="217" t="s">
        <v>668</v>
      </c>
      <c r="C81" s="218">
        <v>372.3</v>
      </c>
      <c r="D81" s="218"/>
      <c r="E81" s="126">
        <f>150000-3000-2000</f>
        <v>145000</v>
      </c>
      <c r="F81" s="255">
        <f>E81*2</f>
        <v>290000</v>
      </c>
      <c r="G81" s="276">
        <v>30000</v>
      </c>
      <c r="H81" s="255"/>
      <c r="J81" s="80"/>
      <c r="K81" s="80"/>
      <c r="L81" s="80"/>
      <c r="M81" s="80"/>
      <c r="N81" s="80"/>
    </row>
    <row r="82" spans="1:14" ht="15.75">
      <c r="A82" s="72"/>
      <c r="B82" s="72"/>
      <c r="C82" s="73"/>
      <c r="D82" s="73"/>
      <c r="E82" s="74"/>
      <c r="F82" s="74"/>
      <c r="G82" s="74"/>
      <c r="H82" s="74"/>
      <c r="J82" s="80" t="s">
        <v>385</v>
      </c>
      <c r="K82" s="80" t="s">
        <v>386</v>
      </c>
      <c r="L82" s="80">
        <v>42</v>
      </c>
      <c r="M82" s="80" t="s">
        <v>382</v>
      </c>
      <c r="N82" s="80">
        <v>10</v>
      </c>
    </row>
    <row r="83" spans="1:4" ht="18.75">
      <c r="A83" s="373" t="s">
        <v>669</v>
      </c>
      <c r="B83" s="373"/>
      <c r="C83" s="61"/>
      <c r="D83" s="61"/>
    </row>
    <row r="84" spans="1:9" ht="31.5">
      <c r="A84" s="21" t="s">
        <v>701</v>
      </c>
      <c r="B84" s="274" t="s">
        <v>702</v>
      </c>
      <c r="C84" s="275"/>
      <c r="D84" s="275">
        <v>1</v>
      </c>
      <c r="E84" s="275"/>
      <c r="F84" s="276"/>
      <c r="G84" s="276">
        <v>30000</v>
      </c>
      <c r="H84" s="276"/>
      <c r="I84" s="277" t="s">
        <v>703</v>
      </c>
    </row>
    <row r="85" spans="1:9" ht="31.5">
      <c r="A85" s="21" t="s">
        <v>696</v>
      </c>
      <c r="B85" s="274" t="s">
        <v>697</v>
      </c>
      <c r="C85" s="275">
        <v>40000</v>
      </c>
      <c r="D85" s="275">
        <v>3</v>
      </c>
      <c r="E85" s="275"/>
      <c r="F85" s="276"/>
      <c r="G85" s="276">
        <f>C85*D85</f>
        <v>120000</v>
      </c>
      <c r="H85" s="276" t="s">
        <v>698</v>
      </c>
      <c r="I85" s="276" t="s">
        <v>699</v>
      </c>
    </row>
    <row r="86" spans="1:9" ht="31.5">
      <c r="A86" s="21" t="s">
        <v>773</v>
      </c>
      <c r="B86" s="274" t="s">
        <v>776</v>
      </c>
      <c r="C86" s="275">
        <v>300000</v>
      </c>
      <c r="D86" s="275">
        <v>2</v>
      </c>
      <c r="E86" s="275">
        <f>C86*D86</f>
        <v>600000</v>
      </c>
      <c r="F86" s="276"/>
      <c r="G86" s="276">
        <v>800000</v>
      </c>
      <c r="H86" s="276" t="s">
        <v>695</v>
      </c>
      <c r="I86" s="277" t="s">
        <v>777</v>
      </c>
    </row>
    <row r="87" spans="1:9" ht="31.5">
      <c r="A87" s="21" t="s">
        <v>774</v>
      </c>
      <c r="B87" s="274" t="s">
        <v>775</v>
      </c>
      <c r="C87" s="275">
        <v>10000</v>
      </c>
      <c r="D87" s="275">
        <v>4</v>
      </c>
      <c r="E87" s="276"/>
      <c r="F87" s="276"/>
      <c r="G87" s="276">
        <v>40000</v>
      </c>
      <c r="H87" s="276"/>
      <c r="I87" s="276"/>
    </row>
    <row r="88" spans="1:9" ht="15.75">
      <c r="A88" s="278"/>
      <c r="B88" s="279"/>
      <c r="C88" s="275"/>
      <c r="D88" s="275"/>
      <c r="E88" s="276"/>
      <c r="F88" s="276"/>
      <c r="G88" s="276">
        <f>350000-65000-280000-5000</f>
        <v>0</v>
      </c>
      <c r="H88" s="276"/>
      <c r="I88" s="276" t="s">
        <v>700</v>
      </c>
    </row>
    <row r="89" spans="1:11" ht="15.75">
      <c r="A89" s="397" t="s">
        <v>212</v>
      </c>
      <c r="B89" s="398"/>
      <c r="C89" s="49"/>
      <c r="D89" s="49"/>
      <c r="E89" s="74">
        <f>SUM(E84:E86)</f>
        <v>600000</v>
      </c>
      <c r="F89" s="74"/>
      <c r="G89" s="74">
        <f>SUM(G84:G88)</f>
        <v>990000</v>
      </c>
      <c r="H89" s="74"/>
      <c r="I89" s="74"/>
      <c r="K89">
        <f>150000-46523</f>
        <v>103477</v>
      </c>
    </row>
    <row r="90" spans="1:9" ht="15.75">
      <c r="A90" s="72"/>
      <c r="B90" s="84"/>
      <c r="C90" s="83"/>
      <c r="D90" s="83"/>
      <c r="E90" s="74"/>
      <c r="F90" s="74"/>
      <c r="G90" s="74"/>
      <c r="H90" s="74"/>
      <c r="I90" s="74"/>
    </row>
    <row r="91" spans="2:8" ht="15.75">
      <c r="B91" s="273" t="s">
        <v>387</v>
      </c>
      <c r="E91" s="74">
        <f>E42+E57+E74+E77+E81+E89+J61</f>
        <v>2324050</v>
      </c>
      <c r="F91" s="74">
        <f>F42+F57+F74+F77+F79+F81+F89</f>
        <v>2465400</v>
      </c>
      <c r="G91" s="270">
        <f>G42+G57+G74+G77+G79+G81+G89+G112</f>
        <v>5534943.5</v>
      </c>
      <c r="H91" s="74"/>
    </row>
    <row r="92" spans="3:15" ht="15.75">
      <c r="C92">
        <f>E42+E57+E74</f>
        <v>1078827</v>
      </c>
      <c r="O92" s="82"/>
    </row>
    <row r="93" spans="3:15" ht="25.5">
      <c r="C93">
        <v>820000</v>
      </c>
      <c r="O93" s="81" t="s">
        <v>379</v>
      </c>
    </row>
    <row r="94" spans="3:15" ht="15.75">
      <c r="C94">
        <v>368347</v>
      </c>
      <c r="O94" s="80">
        <f>L77*N77</f>
        <v>2500</v>
      </c>
    </row>
    <row r="95" spans="3:15" ht="16.5" thickBot="1">
      <c r="C95">
        <v>10800</v>
      </c>
      <c r="O95" s="80">
        <f>L78*N78</f>
        <v>180</v>
      </c>
    </row>
    <row r="96" spans="9:15" ht="16.5" thickBot="1">
      <c r="I96" s="204"/>
      <c r="J96" s="204"/>
      <c r="O96" s="80">
        <f>L82*N82</f>
        <v>420</v>
      </c>
    </row>
    <row r="97" ht="15.75">
      <c r="C97">
        <f>SUM(C92:C96)</f>
        <v>2277974</v>
      </c>
    </row>
    <row r="99" ht="15.75">
      <c r="C99">
        <f>C100-C97</f>
        <v>-562409</v>
      </c>
    </row>
    <row r="100" ht="15.75">
      <c r="C100">
        <v>1715565</v>
      </c>
    </row>
    <row r="103" ht="15.75">
      <c r="C103" s="67">
        <v>2000</v>
      </c>
    </row>
    <row r="104" ht="15.75">
      <c r="E104"/>
    </row>
    <row r="105" spans="1:11" ht="31.5">
      <c r="A105" s="21" t="s">
        <v>235</v>
      </c>
      <c r="B105" s="274" t="s">
        <v>236</v>
      </c>
      <c r="C105" s="272">
        <v>2.867856</v>
      </c>
      <c r="D105" s="271">
        <f>F105/C105</f>
        <v>86761.67841063149</v>
      </c>
      <c r="E105" s="213"/>
      <c r="F105" s="213">
        <f>Енергоносії!K8</f>
        <v>248820</v>
      </c>
      <c r="G105" s="282">
        <v>519029.5</v>
      </c>
      <c r="H105" s="257"/>
      <c r="J105">
        <f>422500+148800</f>
        <v>571300</v>
      </c>
      <c r="K105">
        <f>J105/2.906052</f>
        <v>196589.73755459298</v>
      </c>
    </row>
    <row r="106" spans="1:8" ht="31.5">
      <c r="A106" s="21" t="s">
        <v>771</v>
      </c>
      <c r="B106" s="274" t="s">
        <v>772</v>
      </c>
      <c r="C106" s="272"/>
      <c r="D106" s="271"/>
      <c r="E106" s="213"/>
      <c r="F106" s="213"/>
      <c r="G106" s="282">
        <v>199500</v>
      </c>
      <c r="H106" s="257"/>
    </row>
    <row r="107" spans="1:8" ht="31.5">
      <c r="A107" s="21" t="s">
        <v>355</v>
      </c>
      <c r="B107" s="274" t="s">
        <v>354</v>
      </c>
      <c r="C107" s="272">
        <v>14.97372</v>
      </c>
      <c r="D107" s="271">
        <v>2000</v>
      </c>
      <c r="E107" s="213"/>
      <c r="F107" s="213"/>
      <c r="G107" s="282">
        <f>C107*D107+2.56</f>
        <v>29950</v>
      </c>
      <c r="H107" s="257"/>
    </row>
    <row r="108" spans="1:8" ht="31.5">
      <c r="A108" s="21" t="s">
        <v>353</v>
      </c>
      <c r="B108" s="274" t="s">
        <v>352</v>
      </c>
      <c r="C108" s="272">
        <v>0.85572</v>
      </c>
      <c r="D108" s="271">
        <v>2000</v>
      </c>
      <c r="E108" s="213"/>
      <c r="F108" s="213"/>
      <c r="G108" s="282">
        <f>C108*D108-1.44</f>
        <v>1710</v>
      </c>
      <c r="H108" s="257"/>
    </row>
    <row r="109" spans="1:11" ht="31.5">
      <c r="A109" s="21" t="s">
        <v>237</v>
      </c>
      <c r="B109" s="274" t="s">
        <v>238</v>
      </c>
      <c r="C109" s="49">
        <v>2448.65</v>
      </c>
      <c r="D109" s="49">
        <v>320</v>
      </c>
      <c r="E109" s="49"/>
      <c r="F109" s="49">
        <f>Енергоносії!K4</f>
        <v>215252</v>
      </c>
      <c r="G109" s="282">
        <f>C109*D109</f>
        <v>783568</v>
      </c>
      <c r="H109" s="83"/>
      <c r="I109" t="s">
        <v>357</v>
      </c>
      <c r="J109">
        <v>200000</v>
      </c>
      <c r="K109" t="s">
        <v>356</v>
      </c>
    </row>
    <row r="110" spans="1:11" ht="31.5">
      <c r="A110" s="21" t="s">
        <v>239</v>
      </c>
      <c r="B110" s="274" t="s">
        <v>240</v>
      </c>
      <c r="C110" s="49">
        <v>15.228</v>
      </c>
      <c r="D110" s="49">
        <v>500</v>
      </c>
      <c r="E110" s="49"/>
      <c r="F110" s="213">
        <f>Енергоносії!K7</f>
        <v>2312.007539041465</v>
      </c>
      <c r="G110" s="282">
        <f>C110*D110</f>
        <v>7614</v>
      </c>
      <c r="H110" s="257"/>
      <c r="I110" t="s">
        <v>694</v>
      </c>
      <c r="J110">
        <f>J109*K110</f>
        <v>505999.99999999994</v>
      </c>
      <c r="K110">
        <v>2.53</v>
      </c>
    </row>
    <row r="111" spans="1:11" ht="31.5">
      <c r="A111" s="21" t="s">
        <v>241</v>
      </c>
      <c r="B111" s="274" t="s">
        <v>242</v>
      </c>
      <c r="C111" s="49">
        <v>9.144</v>
      </c>
      <c r="D111" s="49">
        <v>500</v>
      </c>
      <c r="E111" s="49"/>
      <c r="F111" s="213">
        <f>Енергоносії!K6</f>
        <v>3838.9924609585355</v>
      </c>
      <c r="G111" s="282">
        <f>C111*D111</f>
        <v>4572</v>
      </c>
      <c r="H111" s="257"/>
      <c r="I111" t="s">
        <v>693</v>
      </c>
      <c r="J111">
        <f>J109*K111</f>
        <v>194000</v>
      </c>
      <c r="K111">
        <v>0.97</v>
      </c>
    </row>
    <row r="112" spans="1:10" ht="15.75">
      <c r="A112" s="397" t="s">
        <v>212</v>
      </c>
      <c r="B112" s="398"/>
      <c r="C112" s="49"/>
      <c r="D112" s="49"/>
      <c r="E112" s="49"/>
      <c r="F112" s="74">
        <f>SUM(F105:F111)</f>
        <v>470223</v>
      </c>
      <c r="G112" s="270">
        <f>SUM(G105:G111)</f>
        <v>1545943.5</v>
      </c>
      <c r="H112" s="74"/>
      <c r="J112">
        <f>SUM(J110:J111)</f>
        <v>700000</v>
      </c>
    </row>
    <row r="113" ht="15.75">
      <c r="E113"/>
    </row>
    <row r="114" ht="15.75">
      <c r="E114"/>
    </row>
    <row r="115" ht="15.75">
      <c r="H115"/>
    </row>
  </sheetData>
  <sheetProtection/>
  <mergeCells count="14">
    <mergeCell ref="A89:B89"/>
    <mergeCell ref="A112:B112"/>
    <mergeCell ref="A60:B60"/>
    <mergeCell ref="A74:B74"/>
    <mergeCell ref="A76:B76"/>
    <mergeCell ref="A78:B78"/>
    <mergeCell ref="A80:B80"/>
    <mergeCell ref="A83:B83"/>
    <mergeCell ref="A1:E1"/>
    <mergeCell ref="A42:B42"/>
    <mergeCell ref="A44:E44"/>
    <mergeCell ref="A45:E45"/>
    <mergeCell ref="A57:B57"/>
    <mergeCell ref="A59:B59"/>
  </mergeCells>
  <dataValidations count="2">
    <dataValidation type="decimal" allowBlank="1" showInputMessage="1" showErrorMessage="1" errorTitle="Очікувана вартість" error="Очікувана вартість предмета закупівлі - тілько число" sqref="C73 C69 C62 A68 C103 A66 A70:A71 E61:H73 A61">
      <formula1>0</formula1>
      <formula2>1E+32</formula2>
    </dataValidation>
    <dataValidation type="textLength" allowBlank="1" showInputMessage="1" showErrorMessage="1" promptTitle="обов'язкове" prompt="обов'язкове" sqref="A73 A8:A10 A77 A79:A80">
      <formula1>1</formula1>
      <formula2>200000</formula2>
    </dataValidation>
  </dataValidations>
  <printOptions/>
  <pageMargins left="0.1968503937007874" right="0.1968503937007874" top="0.1968503937007874" bottom="0.1968503937007874" header="0.1968503937007874" footer="0.196850393700787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zoomScale="120" zoomScaleNormal="120" zoomScalePageLayoutView="0" workbookViewId="0" topLeftCell="A1">
      <selection activeCell="D3" sqref="D3:O3"/>
    </sheetView>
  </sheetViews>
  <sheetFormatPr defaultColWidth="36.57421875" defaultRowHeight="15"/>
  <cols>
    <col min="1" max="1" width="29.7109375" style="0" customWidth="1"/>
    <col min="2" max="2" width="6.57421875" style="0" customWidth="1"/>
    <col min="3" max="3" width="14.7109375" style="0" bestFit="1" customWidth="1"/>
    <col min="4" max="5" width="6.140625" style="0" bestFit="1" customWidth="1"/>
    <col min="6" max="6" width="9.421875" style="0" customWidth="1"/>
    <col min="7" max="7" width="7.140625" style="0" bestFit="1" customWidth="1"/>
    <col min="8" max="8" width="7.28125" style="0" bestFit="1" customWidth="1"/>
    <col min="9" max="9" width="7.421875" style="0" bestFit="1" customWidth="1"/>
    <col min="10" max="10" width="12.7109375" style="0" bestFit="1" customWidth="1"/>
    <col min="11" max="11" width="11.28125" style="0" bestFit="1" customWidth="1"/>
    <col min="12" max="12" width="10.57421875" style="0" customWidth="1"/>
    <col min="13" max="14" width="11.28125" style="0" bestFit="1" customWidth="1"/>
    <col min="15" max="15" width="11.57421875" style="0" customWidth="1"/>
    <col min="16" max="16" width="11.57421875" style="62" customWidth="1"/>
    <col min="17" max="20" width="11.57421875" style="0" customWidth="1"/>
    <col min="21" max="21" width="13.7109375" style="0" bestFit="1" customWidth="1"/>
  </cols>
  <sheetData>
    <row r="1" spans="1:17" ht="15">
      <c r="A1" s="220" t="s">
        <v>599</v>
      </c>
      <c r="C1" s="224">
        <f>SUM(D1:O1)</f>
        <v>15119798</v>
      </c>
      <c r="D1" s="222"/>
      <c r="E1" s="222"/>
      <c r="F1" s="222"/>
      <c r="G1" s="222"/>
      <c r="H1" s="222"/>
      <c r="I1" s="222"/>
      <c r="J1" s="222">
        <v>2164780</v>
      </c>
      <c r="K1" s="222">
        <v>2333151</v>
      </c>
      <c r="L1" s="222">
        <v>2404539</v>
      </c>
      <c r="M1" s="222">
        <v>2482576.33</v>
      </c>
      <c r="N1" s="222">
        <v>2681294</v>
      </c>
      <c r="O1" s="222">
        <f>Q1-J1-K1-L1-M1-N1</f>
        <v>3053457.67</v>
      </c>
      <c r="Q1" s="222">
        <v>15119798</v>
      </c>
    </row>
    <row r="2" spans="1:17" ht="15">
      <c r="A2" s="221" t="s">
        <v>600</v>
      </c>
      <c r="C2" s="223">
        <v>11436381</v>
      </c>
      <c r="J2" s="222">
        <v>2164780</v>
      </c>
      <c r="K2" s="222">
        <v>2333151</v>
      </c>
      <c r="L2" s="222">
        <v>2404539</v>
      </c>
      <c r="M2" s="222">
        <v>2482576.33</v>
      </c>
      <c r="N2" s="222">
        <v>2681294</v>
      </c>
      <c r="O2" s="222">
        <v>2769251.67</v>
      </c>
      <c r="Q2" s="222">
        <f>SUM(J2:P2)</f>
        <v>14835592</v>
      </c>
    </row>
    <row r="3" spans="1:20" ht="15">
      <c r="A3" s="457" t="s">
        <v>411</v>
      </c>
      <c r="B3" s="459" t="s">
        <v>412</v>
      </c>
      <c r="C3" s="461" t="s">
        <v>413</v>
      </c>
      <c r="D3" s="463" t="s">
        <v>598</v>
      </c>
      <c r="E3" s="464"/>
      <c r="F3" s="464"/>
      <c r="G3" s="464"/>
      <c r="H3" s="464"/>
      <c r="I3" s="464"/>
      <c r="J3" s="464"/>
      <c r="K3" s="464"/>
      <c r="L3" s="464"/>
      <c r="M3" s="464"/>
      <c r="N3" s="464"/>
      <c r="O3" s="465"/>
      <c r="P3" s="131"/>
      <c r="Q3" s="100"/>
      <c r="R3" s="100"/>
      <c r="S3" s="100"/>
      <c r="T3" s="100"/>
    </row>
    <row r="4" spans="1:20" ht="15">
      <c r="A4" s="458"/>
      <c r="B4" s="460"/>
      <c r="C4" s="462"/>
      <c r="D4" s="101" t="s">
        <v>414</v>
      </c>
      <c r="E4" s="102" t="s">
        <v>415</v>
      </c>
      <c r="F4" s="101" t="s">
        <v>416</v>
      </c>
      <c r="G4" s="101" t="s">
        <v>417</v>
      </c>
      <c r="H4" s="101" t="s">
        <v>418</v>
      </c>
      <c r="I4" s="101" t="s">
        <v>419</v>
      </c>
      <c r="J4" s="101" t="s">
        <v>372</v>
      </c>
      <c r="K4" s="101" t="s">
        <v>420</v>
      </c>
      <c r="L4" s="101" t="s">
        <v>421</v>
      </c>
      <c r="M4" s="101" t="s">
        <v>422</v>
      </c>
      <c r="N4" s="101" t="s">
        <v>423</v>
      </c>
      <c r="O4" s="101" t="s">
        <v>424</v>
      </c>
      <c r="P4" s="132"/>
      <c r="Q4" s="103" t="s">
        <v>451</v>
      </c>
      <c r="R4" s="103" t="s">
        <v>452</v>
      </c>
      <c r="S4" s="103"/>
      <c r="T4" s="103"/>
    </row>
    <row r="5" spans="1:20" ht="15.75">
      <c r="A5" s="466" t="s">
        <v>425</v>
      </c>
      <c r="B5" s="467"/>
      <c r="C5" s="467"/>
      <c r="D5" s="467"/>
      <c r="E5" s="467"/>
      <c r="F5" s="467"/>
      <c r="G5" s="467"/>
      <c r="H5" s="467"/>
      <c r="I5" s="467"/>
      <c r="J5" s="467"/>
      <c r="K5" s="467"/>
      <c r="L5" s="467"/>
      <c r="M5" s="467"/>
      <c r="N5" s="467"/>
      <c r="O5" s="468"/>
      <c r="P5" s="133"/>
      <c r="Q5" s="104"/>
      <c r="R5" s="104"/>
      <c r="S5" s="104">
        <v>11436381</v>
      </c>
      <c r="T5" s="105">
        <f>S5-C6</f>
        <v>0</v>
      </c>
    </row>
    <row r="6" spans="1:20" ht="15">
      <c r="A6" s="469" t="s">
        <v>426</v>
      </c>
      <c r="B6" s="470"/>
      <c r="C6" s="106">
        <f>D6+E6+F6+G6+H6+I6+J6+K6+L6+M6+N6+O6</f>
        <v>11436381</v>
      </c>
      <c r="D6" s="107">
        <f aca="true" t="shared" si="0" ref="D6:I6">D7+D10+D24</f>
        <v>0</v>
      </c>
      <c r="E6" s="107">
        <f t="shared" si="0"/>
        <v>0</v>
      </c>
      <c r="F6" s="107">
        <f t="shared" si="0"/>
        <v>0</v>
      </c>
      <c r="G6" s="107">
        <f t="shared" si="0"/>
        <v>0</v>
      </c>
      <c r="H6" s="107">
        <f t="shared" si="0"/>
        <v>0</v>
      </c>
      <c r="I6" s="107">
        <f t="shared" si="0"/>
        <v>0</v>
      </c>
      <c r="J6" s="107">
        <f aca="true" t="shared" si="1" ref="J6:O6">J7+J8+J10+J24+J25+J26</f>
        <v>2475266</v>
      </c>
      <c r="K6" s="107">
        <f t="shared" si="1"/>
        <v>1764136</v>
      </c>
      <c r="L6" s="107">
        <f t="shared" si="1"/>
        <v>1773486</v>
      </c>
      <c r="M6" s="107">
        <f t="shared" si="1"/>
        <v>1834973</v>
      </c>
      <c r="N6" s="107">
        <f t="shared" si="1"/>
        <v>1803338</v>
      </c>
      <c r="O6" s="107">
        <f t="shared" si="1"/>
        <v>1785182</v>
      </c>
      <c r="P6" s="134"/>
      <c r="Q6" s="108"/>
      <c r="R6" s="108"/>
      <c r="S6" s="108"/>
      <c r="T6" s="108"/>
    </row>
    <row r="7" spans="1:21" ht="22.5">
      <c r="A7" s="109" t="s">
        <v>427</v>
      </c>
      <c r="B7" s="110">
        <v>2100</v>
      </c>
      <c r="C7" s="107">
        <f aca="true" t="shared" si="2" ref="C7:C26">SUM(D7:O7)</f>
        <v>7553714</v>
      </c>
      <c r="D7" s="111"/>
      <c r="E7" s="111"/>
      <c r="F7" s="111"/>
      <c r="G7" s="111"/>
      <c r="H7" s="111"/>
      <c r="I7" s="111"/>
      <c r="J7" s="111">
        <f>1258570+100000+3050-756</f>
        <v>1360864</v>
      </c>
      <c r="K7" s="111">
        <v>1258570</v>
      </c>
      <c r="L7" s="111">
        <v>1258570</v>
      </c>
      <c r="M7" s="111">
        <v>1258570</v>
      </c>
      <c r="N7" s="111">
        <f>1258570-50000</f>
        <v>1208570</v>
      </c>
      <c r="O7" s="111">
        <f>1258570-50000</f>
        <v>1208570</v>
      </c>
      <c r="P7" s="135">
        <f>C7</f>
        <v>7553714</v>
      </c>
      <c r="Q7" s="112">
        <f>J7+K7+L7</f>
        <v>3878004</v>
      </c>
      <c r="R7" s="112">
        <f>M7+N7+O7</f>
        <v>3675710</v>
      </c>
      <c r="S7" s="112">
        <v>7553714</v>
      </c>
      <c r="T7" s="112">
        <f>S7-C7</f>
        <v>0</v>
      </c>
      <c r="U7" s="79">
        <v>2164780</v>
      </c>
    </row>
    <row r="8" spans="1:21" ht="15">
      <c r="A8" s="113" t="s">
        <v>428</v>
      </c>
      <c r="B8" s="110">
        <v>2111</v>
      </c>
      <c r="C8" s="107">
        <f t="shared" si="2"/>
        <v>1661817</v>
      </c>
      <c r="D8" s="111"/>
      <c r="E8" s="111"/>
      <c r="F8" s="111"/>
      <c r="G8" s="111"/>
      <c r="H8" s="111"/>
      <c r="I8" s="111"/>
      <c r="J8" s="111">
        <f>J7*22%+1.6+0.32</f>
        <v>299392</v>
      </c>
      <c r="K8" s="111">
        <f>K7*22%-0.4</f>
        <v>276885</v>
      </c>
      <c r="L8" s="111">
        <f>L7*22%-0.4</f>
        <v>276885</v>
      </c>
      <c r="M8" s="111">
        <f>M7*22%-0.4</f>
        <v>276885</v>
      </c>
      <c r="N8" s="111">
        <f>N7*22%-0.4</f>
        <v>265885</v>
      </c>
      <c r="O8" s="111">
        <f>O7*22%-0.4</f>
        <v>265885</v>
      </c>
      <c r="P8" s="135">
        <f>C8</f>
        <v>1661817</v>
      </c>
      <c r="Q8" s="112">
        <f aca="true" t="shared" si="3" ref="Q8:Q25">J8+K8+L8</f>
        <v>853162</v>
      </c>
      <c r="R8" s="112">
        <f aca="true" t="shared" si="4" ref="R8:R25">M8+N8+O8</f>
        <v>808655</v>
      </c>
      <c r="S8" s="112">
        <v>1661817</v>
      </c>
      <c r="T8" s="112">
        <f>S8-C8</f>
        <v>0</v>
      </c>
      <c r="U8" s="68">
        <f>U7-J6</f>
        <v>-310486</v>
      </c>
    </row>
    <row r="9" spans="1:20" ht="15">
      <c r="A9" s="113" t="s">
        <v>429</v>
      </c>
      <c r="B9" s="110">
        <v>2120</v>
      </c>
      <c r="C9" s="107">
        <f t="shared" si="2"/>
        <v>0</v>
      </c>
      <c r="D9" s="111"/>
      <c r="E9" s="111"/>
      <c r="F9" s="111"/>
      <c r="G9" s="111"/>
      <c r="H9" s="111"/>
      <c r="I9" s="111"/>
      <c r="J9" s="111"/>
      <c r="K9" s="111"/>
      <c r="L9" s="111"/>
      <c r="M9" s="111"/>
      <c r="N9" s="111"/>
      <c r="O9" s="111"/>
      <c r="P9" s="135"/>
      <c r="Q9" s="112">
        <f t="shared" si="3"/>
        <v>0</v>
      </c>
      <c r="R9" s="112">
        <f t="shared" si="4"/>
        <v>0</v>
      </c>
      <c r="S9" s="112"/>
      <c r="T9" s="112"/>
    </row>
    <row r="10" spans="1:20" ht="15">
      <c r="A10" s="114" t="s">
        <v>430</v>
      </c>
      <c r="B10" s="110">
        <v>2200</v>
      </c>
      <c r="C10" s="107">
        <f t="shared" si="2"/>
        <v>1774373</v>
      </c>
      <c r="D10" s="106">
        <f aca="true" t="shared" si="5" ref="D10:O10">D11+D12+D13+D14+D15+D16</f>
        <v>0</v>
      </c>
      <c r="E10" s="106">
        <f t="shared" si="5"/>
        <v>0</v>
      </c>
      <c r="F10" s="106">
        <f t="shared" si="5"/>
        <v>0</v>
      </c>
      <c r="G10" s="106">
        <f t="shared" si="5"/>
        <v>0</v>
      </c>
      <c r="H10" s="106">
        <f t="shared" si="5"/>
        <v>0</v>
      </c>
      <c r="I10" s="106">
        <f t="shared" si="5"/>
        <v>0</v>
      </c>
      <c r="J10" s="106">
        <f t="shared" si="5"/>
        <v>445010</v>
      </c>
      <c r="K10" s="106">
        <f t="shared" si="5"/>
        <v>217181</v>
      </c>
      <c r="L10" s="106">
        <f t="shared" si="5"/>
        <v>228031</v>
      </c>
      <c r="M10" s="106">
        <f t="shared" si="5"/>
        <v>246041</v>
      </c>
      <c r="N10" s="106">
        <f t="shared" si="5"/>
        <v>327383</v>
      </c>
      <c r="O10" s="106">
        <f t="shared" si="5"/>
        <v>310727</v>
      </c>
      <c r="P10" s="136"/>
      <c r="Q10" s="112"/>
      <c r="R10" s="112"/>
      <c r="S10" s="115"/>
      <c r="T10" s="115"/>
    </row>
    <row r="11" spans="1:20" ht="38.25">
      <c r="A11" s="116" t="s">
        <v>431</v>
      </c>
      <c r="B11" s="110">
        <v>2210</v>
      </c>
      <c r="C11" s="107">
        <f t="shared" si="2"/>
        <v>360000</v>
      </c>
      <c r="D11" s="117"/>
      <c r="E11" s="117"/>
      <c r="F11" s="117"/>
      <c r="G11" s="117"/>
      <c r="H11" s="117"/>
      <c r="I11" s="117"/>
      <c r="J11" s="111">
        <v>71416</v>
      </c>
      <c r="K11" s="111">
        <v>70000</v>
      </c>
      <c r="L11" s="111">
        <v>70000</v>
      </c>
      <c r="M11" s="111">
        <v>50000</v>
      </c>
      <c r="N11" s="111">
        <v>50000</v>
      </c>
      <c r="O11" s="111">
        <f>50000-1416</f>
        <v>48584</v>
      </c>
      <c r="P11" s="135" t="e">
        <f>#REF!</f>
        <v>#REF!</v>
      </c>
      <c r="Q11" s="112">
        <f t="shared" si="3"/>
        <v>211416</v>
      </c>
      <c r="R11" s="112">
        <f t="shared" si="4"/>
        <v>148584</v>
      </c>
      <c r="S11" s="112"/>
      <c r="T11" s="112"/>
    </row>
    <row r="12" spans="1:20" ht="25.5">
      <c r="A12" s="116" t="s">
        <v>432</v>
      </c>
      <c r="B12" s="110">
        <v>2220</v>
      </c>
      <c r="C12" s="107">
        <f t="shared" si="2"/>
        <v>265000</v>
      </c>
      <c r="D12" s="117"/>
      <c r="E12" s="117"/>
      <c r="F12" s="117"/>
      <c r="G12" s="117"/>
      <c r="H12" s="117"/>
      <c r="I12" s="117"/>
      <c r="J12" s="111">
        <v>52500</v>
      </c>
      <c r="K12" s="111">
        <v>52500</v>
      </c>
      <c r="L12" s="111">
        <v>52500</v>
      </c>
      <c r="M12" s="111">
        <v>42500</v>
      </c>
      <c r="N12" s="111">
        <v>32500</v>
      </c>
      <c r="O12" s="111">
        <v>32500</v>
      </c>
      <c r="P12" s="135" t="e">
        <f>#REF!</f>
        <v>#REF!</v>
      </c>
      <c r="Q12" s="112">
        <f t="shared" si="3"/>
        <v>157500</v>
      </c>
      <c r="R12" s="112">
        <f t="shared" si="4"/>
        <v>107500</v>
      </c>
      <c r="S12" s="112"/>
      <c r="T12" s="112"/>
    </row>
    <row r="13" spans="1:20" ht="15">
      <c r="A13" s="116" t="s">
        <v>433</v>
      </c>
      <c r="B13" s="110">
        <v>2230</v>
      </c>
      <c r="C13" s="107">
        <f t="shared" si="2"/>
        <v>0</v>
      </c>
      <c r="D13" s="117"/>
      <c r="E13" s="111"/>
      <c r="F13" s="111"/>
      <c r="G13" s="111"/>
      <c r="H13" s="111"/>
      <c r="I13" s="111"/>
      <c r="J13" s="111"/>
      <c r="K13" s="111"/>
      <c r="L13" s="111"/>
      <c r="M13" s="111"/>
      <c r="N13" s="111"/>
      <c r="O13" s="111"/>
      <c r="P13" s="135"/>
      <c r="Q13" s="112">
        <f t="shared" si="3"/>
        <v>0</v>
      </c>
      <c r="R13" s="112">
        <f t="shared" si="4"/>
        <v>0</v>
      </c>
      <c r="S13" s="112"/>
      <c r="T13" s="112"/>
    </row>
    <row r="14" spans="1:20" ht="15">
      <c r="A14" s="116" t="s">
        <v>434</v>
      </c>
      <c r="B14" s="110">
        <v>2240</v>
      </c>
      <c r="C14" s="107">
        <f t="shared" si="2"/>
        <v>534150</v>
      </c>
      <c r="D14" s="117"/>
      <c r="E14" s="117"/>
      <c r="F14" s="117"/>
      <c r="G14" s="117"/>
      <c r="H14" s="117"/>
      <c r="I14" s="117"/>
      <c r="J14" s="111">
        <v>260000</v>
      </c>
      <c r="K14" s="111">
        <f>80850-1700</f>
        <v>79150</v>
      </c>
      <c r="L14" s="111">
        <v>65000</v>
      </c>
      <c r="M14" s="111">
        <v>55000</v>
      </c>
      <c r="N14" s="111">
        <v>45000</v>
      </c>
      <c r="O14" s="111">
        <v>30000</v>
      </c>
      <c r="P14" s="135" t="e">
        <f>#REF!</f>
        <v>#REF!</v>
      </c>
      <c r="Q14" s="112">
        <f t="shared" si="3"/>
        <v>404150</v>
      </c>
      <c r="R14" s="112">
        <f t="shared" si="4"/>
        <v>130000</v>
      </c>
      <c r="S14" s="112"/>
      <c r="T14" s="112"/>
    </row>
    <row r="15" spans="1:20" ht="15">
      <c r="A15" s="118" t="s">
        <v>435</v>
      </c>
      <c r="B15" s="110">
        <v>2250</v>
      </c>
      <c r="C15" s="107">
        <f t="shared" si="2"/>
        <v>145000</v>
      </c>
      <c r="D15" s="117"/>
      <c r="E15" s="111"/>
      <c r="F15" s="111"/>
      <c r="G15" s="111"/>
      <c r="H15" s="111"/>
      <c r="I15" s="111"/>
      <c r="J15" s="111">
        <v>50000</v>
      </c>
      <c r="K15" s="111">
        <v>10000</v>
      </c>
      <c r="L15" s="111">
        <v>35000</v>
      </c>
      <c r="M15" s="111">
        <v>35000</v>
      </c>
      <c r="N15" s="111">
        <v>10000</v>
      </c>
      <c r="O15" s="111">
        <v>5000</v>
      </c>
      <c r="P15" s="135" t="e">
        <f>#REF!</f>
        <v>#REF!</v>
      </c>
      <c r="Q15" s="112">
        <f t="shared" si="3"/>
        <v>95000</v>
      </c>
      <c r="R15" s="112">
        <f t="shared" si="4"/>
        <v>50000</v>
      </c>
      <c r="S15" s="112"/>
      <c r="T15" s="112"/>
    </row>
    <row r="16" spans="1:20" ht="25.5">
      <c r="A16" s="109" t="s">
        <v>436</v>
      </c>
      <c r="B16" s="110">
        <v>2270</v>
      </c>
      <c r="C16" s="107">
        <f t="shared" si="2"/>
        <v>470223</v>
      </c>
      <c r="D16" s="119">
        <f>D17+D18+D19+D20</f>
        <v>0</v>
      </c>
      <c r="E16" s="119">
        <f aca="true" t="shared" si="6" ref="E16:O16">E17+E18+E19+E20</f>
        <v>0</v>
      </c>
      <c r="F16" s="119">
        <f t="shared" si="6"/>
        <v>0</v>
      </c>
      <c r="G16" s="119">
        <f t="shared" si="6"/>
        <v>0</v>
      </c>
      <c r="H16" s="119">
        <f t="shared" si="6"/>
        <v>0</v>
      </c>
      <c r="I16" s="119">
        <f t="shared" si="6"/>
        <v>0</v>
      </c>
      <c r="J16" s="119">
        <f t="shared" si="6"/>
        <v>11094</v>
      </c>
      <c r="K16" s="119">
        <f>K17+K18+K19+K20</f>
        <v>5531</v>
      </c>
      <c r="L16" s="119">
        <f t="shared" si="6"/>
        <v>5531</v>
      </c>
      <c r="M16" s="119">
        <f t="shared" si="6"/>
        <v>63541</v>
      </c>
      <c r="N16" s="119">
        <f t="shared" si="6"/>
        <v>189883</v>
      </c>
      <c r="O16" s="119">
        <f t="shared" si="6"/>
        <v>194643</v>
      </c>
      <c r="P16" s="137">
        <f>C16</f>
        <v>470223</v>
      </c>
      <c r="Q16" s="112"/>
      <c r="R16" s="112"/>
      <c r="S16" s="120"/>
      <c r="T16" s="120"/>
    </row>
    <row r="17" spans="1:20" ht="15">
      <c r="A17" s="116" t="s">
        <v>437</v>
      </c>
      <c r="B17" s="110">
        <v>2271</v>
      </c>
      <c r="C17" s="107">
        <f t="shared" si="2"/>
        <v>215252</v>
      </c>
      <c r="D17" s="111"/>
      <c r="E17" s="111"/>
      <c r="F17" s="111"/>
      <c r="G17" s="111"/>
      <c r="H17" s="111"/>
      <c r="I17" s="111"/>
      <c r="J17" s="111">
        <f>Енергоносії!E4</f>
        <v>0</v>
      </c>
      <c r="K17" s="111">
        <f>Енергоносії!F4</f>
        <v>0</v>
      </c>
      <c r="L17" s="111">
        <f>Енергоносії!G4</f>
        <v>0</v>
      </c>
      <c r="M17" s="111">
        <f>Енергоносії!H4</f>
        <v>30750</v>
      </c>
      <c r="N17" s="111">
        <f>Енергоносії!I4</f>
        <v>92251</v>
      </c>
      <c r="O17" s="111">
        <f>Енергоносії!J4</f>
        <v>92251</v>
      </c>
      <c r="P17" s="135"/>
      <c r="Q17" s="112">
        <f t="shared" si="3"/>
        <v>0</v>
      </c>
      <c r="R17" s="112">
        <f t="shared" si="4"/>
        <v>215252</v>
      </c>
      <c r="S17" s="112"/>
      <c r="T17" s="112"/>
    </row>
    <row r="18" spans="1:20" ht="24">
      <c r="A18" s="121" t="s">
        <v>438</v>
      </c>
      <c r="B18" s="110">
        <v>2272</v>
      </c>
      <c r="C18" s="107">
        <f t="shared" si="2"/>
        <v>6151</v>
      </c>
      <c r="D18" s="111"/>
      <c r="E18" s="111"/>
      <c r="F18" s="111"/>
      <c r="G18" s="111"/>
      <c r="H18" s="111"/>
      <c r="I18" s="111"/>
      <c r="J18" s="111">
        <f>Енергоносії!E5</f>
        <v>1694</v>
      </c>
      <c r="K18" s="111">
        <f>Енергоносії!F5</f>
        <v>891</v>
      </c>
      <c r="L18" s="111">
        <f>Енергоносії!G5</f>
        <v>891</v>
      </c>
      <c r="M18" s="111">
        <f>Енергоносії!H5</f>
        <v>891</v>
      </c>
      <c r="N18" s="111">
        <f>Енергоносії!I5</f>
        <v>892</v>
      </c>
      <c r="O18" s="111">
        <f>Енергоносії!J5</f>
        <v>892</v>
      </c>
      <c r="P18" s="135"/>
      <c r="Q18" s="112">
        <f t="shared" si="3"/>
        <v>3476</v>
      </c>
      <c r="R18" s="112">
        <f t="shared" si="4"/>
        <v>2675</v>
      </c>
      <c r="S18" s="112"/>
      <c r="T18" s="112"/>
    </row>
    <row r="19" spans="1:20" ht="13.5" customHeight="1">
      <c r="A19" s="116" t="s">
        <v>439</v>
      </c>
      <c r="B19" s="110">
        <v>2273</v>
      </c>
      <c r="C19" s="107">
        <f t="shared" si="2"/>
        <v>248820</v>
      </c>
      <c r="D19" s="111"/>
      <c r="E19" s="111"/>
      <c r="F19" s="111"/>
      <c r="G19" s="111"/>
      <c r="H19" s="111"/>
      <c r="I19" s="111"/>
      <c r="J19" s="111">
        <f>Енергоносії!E8</f>
        <v>9400</v>
      </c>
      <c r="K19" s="111">
        <f>Енергоносії!F8</f>
        <v>4640</v>
      </c>
      <c r="L19" s="111">
        <f>Енергоносії!G8</f>
        <v>4640</v>
      </c>
      <c r="M19" s="111">
        <f>Енергоносії!H8</f>
        <v>31900</v>
      </c>
      <c r="N19" s="111">
        <f>Енергоносії!I8</f>
        <v>96740</v>
      </c>
      <c r="O19" s="111">
        <f>Енергоносії!J8</f>
        <v>101500</v>
      </c>
      <c r="P19" s="135"/>
      <c r="Q19" s="112">
        <f t="shared" si="3"/>
        <v>18680</v>
      </c>
      <c r="R19" s="112">
        <f t="shared" si="4"/>
        <v>230140</v>
      </c>
      <c r="S19" s="112"/>
      <c r="T19" s="112"/>
    </row>
    <row r="20" spans="1:20" ht="15">
      <c r="A20" s="116"/>
      <c r="B20" s="110"/>
      <c r="C20" s="107">
        <f t="shared" si="2"/>
        <v>0</v>
      </c>
      <c r="D20" s="111"/>
      <c r="E20" s="111"/>
      <c r="F20" s="111"/>
      <c r="G20" s="111"/>
      <c r="H20" s="111"/>
      <c r="I20" s="111"/>
      <c r="J20" s="111"/>
      <c r="K20" s="111"/>
      <c r="L20" s="111"/>
      <c r="M20" s="111"/>
      <c r="N20" s="111"/>
      <c r="O20" s="111"/>
      <c r="P20" s="135"/>
      <c r="Q20" s="112">
        <f t="shared" si="3"/>
        <v>0</v>
      </c>
      <c r="R20" s="112">
        <f t="shared" si="4"/>
        <v>0</v>
      </c>
      <c r="S20" s="112"/>
      <c r="T20" s="112"/>
    </row>
    <row r="21" spans="1:20" ht="15">
      <c r="A21" s="113"/>
      <c r="B21" s="110"/>
      <c r="C21" s="107">
        <f t="shared" si="2"/>
        <v>0</v>
      </c>
      <c r="D21" s="111"/>
      <c r="E21" s="111"/>
      <c r="F21" s="111"/>
      <c r="G21" s="111"/>
      <c r="H21" s="111"/>
      <c r="I21" s="111"/>
      <c r="J21" s="111"/>
      <c r="K21" s="111"/>
      <c r="L21" s="111"/>
      <c r="M21" s="111"/>
      <c r="N21" s="111"/>
      <c r="O21" s="111"/>
      <c r="P21" s="135"/>
      <c r="Q21" s="112">
        <f t="shared" si="3"/>
        <v>0</v>
      </c>
      <c r="R21" s="112">
        <f t="shared" si="4"/>
        <v>0</v>
      </c>
      <c r="S21" s="112"/>
      <c r="T21" s="112"/>
    </row>
    <row r="22" spans="1:20" ht="15">
      <c r="A22" s="113"/>
      <c r="B22" s="110"/>
      <c r="C22" s="107">
        <f t="shared" si="2"/>
        <v>0</v>
      </c>
      <c r="D22" s="111"/>
      <c r="E22" s="111"/>
      <c r="F22" s="111"/>
      <c r="G22" s="111"/>
      <c r="H22" s="111"/>
      <c r="I22" s="111"/>
      <c r="J22" s="111"/>
      <c r="K22" s="111"/>
      <c r="L22" s="111"/>
      <c r="M22" s="111"/>
      <c r="N22" s="111"/>
      <c r="O22" s="111"/>
      <c r="P22" s="135"/>
      <c r="Q22" s="112">
        <f t="shared" si="3"/>
        <v>0</v>
      </c>
      <c r="R22" s="112">
        <f t="shared" si="4"/>
        <v>0</v>
      </c>
      <c r="S22" s="112"/>
      <c r="T22" s="112"/>
    </row>
    <row r="23" spans="1:20" ht="15">
      <c r="A23" s="113"/>
      <c r="B23" s="110"/>
      <c r="C23" s="107">
        <f t="shared" si="2"/>
        <v>0</v>
      </c>
      <c r="D23" s="111"/>
      <c r="E23" s="111"/>
      <c r="F23" s="111"/>
      <c r="G23" s="111"/>
      <c r="H23" s="111"/>
      <c r="I23" s="111"/>
      <c r="J23" s="111"/>
      <c r="K23" s="111"/>
      <c r="L23" s="111"/>
      <c r="M23" s="111"/>
      <c r="N23" s="111"/>
      <c r="O23" s="111"/>
      <c r="P23" s="135"/>
      <c r="Q23" s="112">
        <f t="shared" si="3"/>
        <v>0</v>
      </c>
      <c r="R23" s="112">
        <f t="shared" si="4"/>
        <v>0</v>
      </c>
      <c r="S23" s="112"/>
      <c r="T23" s="112"/>
    </row>
    <row r="24" spans="1:20" ht="15">
      <c r="A24" s="116"/>
      <c r="B24" s="110">
        <v>2800</v>
      </c>
      <c r="C24" s="107">
        <f t="shared" si="2"/>
        <v>3000</v>
      </c>
      <c r="D24" s="111"/>
      <c r="E24" s="111"/>
      <c r="F24" s="111"/>
      <c r="G24" s="111"/>
      <c r="H24" s="111"/>
      <c r="I24" s="111"/>
      <c r="J24" s="111"/>
      <c r="K24" s="111">
        <v>1500</v>
      </c>
      <c r="L24" s="111"/>
      <c r="M24" s="111"/>
      <c r="N24" s="111">
        <v>1500</v>
      </c>
      <c r="O24" s="111"/>
      <c r="P24" s="135" t="e">
        <f>#REF!</f>
        <v>#REF!</v>
      </c>
      <c r="Q24" s="112">
        <f t="shared" si="3"/>
        <v>1500</v>
      </c>
      <c r="R24" s="112">
        <f t="shared" si="4"/>
        <v>1500</v>
      </c>
      <c r="S24" s="112"/>
      <c r="T24" s="112"/>
    </row>
    <row r="25" spans="1:20" ht="15">
      <c r="A25" s="109" t="s">
        <v>440</v>
      </c>
      <c r="B25" s="110">
        <v>2282</v>
      </c>
      <c r="C25" s="107">
        <f t="shared" si="2"/>
        <v>30000</v>
      </c>
      <c r="D25" s="111"/>
      <c r="E25" s="111"/>
      <c r="F25" s="111"/>
      <c r="G25" s="111"/>
      <c r="H25" s="111"/>
      <c r="I25" s="111"/>
      <c r="J25" s="111"/>
      <c r="K25" s="111">
        <v>10000</v>
      </c>
      <c r="L25" s="111">
        <v>10000</v>
      </c>
      <c r="M25" s="111">
        <v>10000</v>
      </c>
      <c r="N25" s="111"/>
      <c r="O25" s="111"/>
      <c r="P25" s="135" t="e">
        <f>#REF!</f>
        <v>#REF!</v>
      </c>
      <c r="Q25" s="112">
        <f t="shared" si="3"/>
        <v>20000</v>
      </c>
      <c r="R25" s="112">
        <f t="shared" si="4"/>
        <v>10000</v>
      </c>
      <c r="S25" s="112"/>
      <c r="T25" s="112"/>
    </row>
    <row r="26" spans="1:20" ht="15">
      <c r="A26" s="109"/>
      <c r="B26" s="110">
        <v>3110</v>
      </c>
      <c r="C26" s="107">
        <f t="shared" si="2"/>
        <v>413477</v>
      </c>
      <c r="D26" s="111"/>
      <c r="E26" s="111"/>
      <c r="F26" s="111"/>
      <c r="G26" s="111"/>
      <c r="H26" s="111"/>
      <c r="I26" s="111"/>
      <c r="J26" s="111">
        <v>370000</v>
      </c>
      <c r="K26" s="111"/>
      <c r="L26" s="111"/>
      <c r="M26" s="111">
        <f>150000-106523</f>
        <v>43477</v>
      </c>
      <c r="N26" s="111"/>
      <c r="O26" s="107"/>
      <c r="P26" s="135" t="e">
        <f>#REF!</f>
        <v>#REF!</v>
      </c>
      <c r="Q26" s="112">
        <f>J26+K26+L26</f>
        <v>370000</v>
      </c>
      <c r="R26" s="112">
        <f>M26+N26+O26</f>
        <v>43477</v>
      </c>
      <c r="S26" s="108"/>
      <c r="T26" s="108"/>
    </row>
    <row r="27" spans="4:20" ht="15">
      <c r="D27" s="108"/>
      <c r="E27" s="108"/>
      <c r="F27" s="108"/>
      <c r="G27" s="108"/>
      <c r="H27" s="108"/>
      <c r="I27" s="108"/>
      <c r="J27" s="108"/>
      <c r="K27" s="108"/>
      <c r="L27" s="108"/>
      <c r="M27" s="108"/>
      <c r="N27" s="108"/>
      <c r="O27" s="108"/>
      <c r="P27" s="134"/>
      <c r="Q27" s="108"/>
      <c r="R27" s="108"/>
      <c r="S27" s="108"/>
      <c r="T27" s="108"/>
    </row>
    <row r="28" spans="1:20" ht="15.75">
      <c r="A28" s="122" t="s">
        <v>441</v>
      </c>
      <c r="B28" s="123"/>
      <c r="C28" s="123"/>
      <c r="D28" s="124"/>
      <c r="E28" s="123"/>
      <c r="F28" s="123" t="s">
        <v>442</v>
      </c>
      <c r="G28" s="123"/>
      <c r="H28" s="125"/>
      <c r="I28" s="125"/>
      <c r="J28" s="125"/>
      <c r="K28" s="125"/>
      <c r="L28" s="125"/>
      <c r="M28" s="125"/>
      <c r="N28" s="125"/>
      <c r="O28" s="125"/>
      <c r="P28" s="138"/>
      <c r="Q28" s="203">
        <f>SUM(Q7:Q27)</f>
        <v>6012888</v>
      </c>
      <c r="R28" s="203">
        <f>SUM(R7:R27)</f>
        <v>5423493</v>
      </c>
      <c r="S28" s="125"/>
      <c r="T28" s="125"/>
    </row>
    <row r="29" spans="1:20" ht="15.75">
      <c r="A29" s="122"/>
      <c r="B29" s="123"/>
      <c r="C29" s="123"/>
      <c r="D29" s="123"/>
      <c r="E29" s="123"/>
      <c r="F29" s="123"/>
      <c r="G29" s="123"/>
      <c r="H29" s="125"/>
      <c r="I29" s="125"/>
      <c r="J29" s="125"/>
      <c r="K29" s="125"/>
      <c r="L29" s="125"/>
      <c r="M29" s="125"/>
      <c r="N29" s="125"/>
      <c r="O29" s="125"/>
      <c r="P29" s="138"/>
      <c r="Q29" s="125">
        <f>Q28/1000</f>
        <v>6012.888</v>
      </c>
      <c r="R29" s="125">
        <f>R28/1000</f>
        <v>5423.493</v>
      </c>
      <c r="S29" s="125"/>
      <c r="T29" s="125"/>
    </row>
    <row r="30" spans="1:20" ht="15.75">
      <c r="A30" s="122" t="s">
        <v>443</v>
      </c>
      <c r="B30" s="123"/>
      <c r="C30" s="123">
        <v>2220850</v>
      </c>
      <c r="D30" s="123"/>
      <c r="E30" s="123"/>
      <c r="F30" s="123" t="s">
        <v>444</v>
      </c>
      <c r="G30" s="123"/>
      <c r="H30" s="125"/>
      <c r="I30" s="125"/>
      <c r="J30" s="125"/>
      <c r="K30" s="125"/>
      <c r="L30" s="125"/>
      <c r="M30" s="125"/>
      <c r="N30" s="125"/>
      <c r="O30" s="125"/>
      <c r="P30" s="138"/>
      <c r="Q30" s="125"/>
      <c r="R30" s="125"/>
      <c r="S30" s="125"/>
      <c r="T30" s="125"/>
    </row>
    <row r="31" ht="15">
      <c r="C31" s="68">
        <f>C30+C7+C8</f>
        <v>11436381</v>
      </c>
    </row>
    <row r="38" ht="15">
      <c r="C38" s="222">
        <v>2500000</v>
      </c>
    </row>
    <row r="39" ht="15">
      <c r="C39" s="222">
        <v>12</v>
      </c>
    </row>
    <row r="40" ht="15">
      <c r="C40" s="222">
        <f>C38*C39</f>
        <v>30000000</v>
      </c>
    </row>
    <row r="41" ht="15">
      <c r="C41" s="222"/>
    </row>
    <row r="42" ht="15">
      <c r="C42" s="222"/>
    </row>
    <row r="43" ht="15">
      <c r="C43" s="222"/>
    </row>
    <row r="44" ht="15">
      <c r="C44" s="222"/>
    </row>
    <row r="45" ht="15">
      <c r="C45" s="222"/>
    </row>
    <row r="46" ht="15">
      <c r="C46" s="222"/>
    </row>
  </sheetData>
  <sheetProtection/>
  <mergeCells count="6">
    <mergeCell ref="A3:A4"/>
    <mergeCell ref="B3:B4"/>
    <mergeCell ref="C3:C4"/>
    <mergeCell ref="D3:O3"/>
    <mergeCell ref="A5:O5"/>
    <mergeCell ref="A6:B6"/>
  </mergeCells>
  <printOptions/>
  <pageMargins left="0.7" right="0.7" top="0.75" bottom="0.75" header="0.3" footer="0.3"/>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5:G31"/>
  <sheetViews>
    <sheetView zoomScalePageLayoutView="0" workbookViewId="0" topLeftCell="A19">
      <selection activeCell="B33" sqref="B33"/>
    </sheetView>
  </sheetViews>
  <sheetFormatPr defaultColWidth="9.140625" defaultRowHeight="15"/>
  <cols>
    <col min="1" max="1" width="5.140625" style="69" customWidth="1"/>
    <col min="2" max="2" width="31.8515625" style="69" customWidth="1"/>
    <col min="3" max="3" width="33.28125" style="69" customWidth="1"/>
    <col min="4" max="4" width="11.421875" style="69" bestFit="1" customWidth="1"/>
    <col min="5" max="5" width="9.421875" style="69" customWidth="1"/>
    <col min="6" max="6" width="11.28125" style="69" customWidth="1"/>
    <col min="7" max="7" width="12.57421875" style="69" bestFit="1" customWidth="1"/>
    <col min="8" max="16384" width="9.140625" style="69" customWidth="1"/>
  </cols>
  <sheetData>
    <row r="5" spans="1:6" ht="15.75">
      <c r="A5" s="471" t="s">
        <v>630</v>
      </c>
      <c r="B5" s="471" t="s">
        <v>374</v>
      </c>
      <c r="C5" s="241"/>
      <c r="D5" s="241" t="s">
        <v>631</v>
      </c>
      <c r="E5" s="471" t="s">
        <v>633</v>
      </c>
      <c r="F5" s="471" t="s">
        <v>634</v>
      </c>
    </row>
    <row r="6" spans="1:6" ht="15.75">
      <c r="A6" s="471"/>
      <c r="B6" s="471"/>
      <c r="C6" s="241"/>
      <c r="D6" s="241" t="s">
        <v>632</v>
      </c>
      <c r="E6" s="471"/>
      <c r="F6" s="471"/>
    </row>
    <row r="7" spans="1:6" ht="31.5">
      <c r="A7" s="241">
        <v>1</v>
      </c>
      <c r="B7" s="242" t="s">
        <v>635</v>
      </c>
      <c r="C7" s="242"/>
      <c r="D7" s="21">
        <v>3</v>
      </c>
      <c r="E7" s="21"/>
      <c r="F7" s="243">
        <f aca="true" t="shared" si="0" ref="F7:F25">D7*E7</f>
        <v>0</v>
      </c>
    </row>
    <row r="8" spans="1:6" ht="31.5">
      <c r="A8" s="241">
        <v>2</v>
      </c>
      <c r="B8" s="242" t="s">
        <v>636</v>
      </c>
      <c r="C8" s="242"/>
      <c r="D8" s="21">
        <v>10</v>
      </c>
      <c r="E8" s="21"/>
      <c r="F8" s="243">
        <f t="shared" si="0"/>
        <v>0</v>
      </c>
    </row>
    <row r="9" spans="1:6" ht="31.5">
      <c r="A9" s="241">
        <v>3</v>
      </c>
      <c r="B9" s="242" t="s">
        <v>637</v>
      </c>
      <c r="C9" s="242"/>
      <c r="D9" s="21">
        <v>3</v>
      </c>
      <c r="E9" s="21"/>
      <c r="F9" s="243">
        <f t="shared" si="0"/>
        <v>0</v>
      </c>
    </row>
    <row r="10" spans="1:7" ht="15.75">
      <c r="A10" s="241">
        <v>4</v>
      </c>
      <c r="B10" s="242" t="s">
        <v>638</v>
      </c>
      <c r="C10" s="242"/>
      <c r="D10" s="21">
        <v>30</v>
      </c>
      <c r="E10" s="21">
        <v>1500</v>
      </c>
      <c r="F10" s="243">
        <f t="shared" si="0"/>
        <v>45000</v>
      </c>
      <c r="G10" s="245" t="s">
        <v>653</v>
      </c>
    </row>
    <row r="11" spans="1:7" ht="78.75">
      <c r="A11" s="241">
        <v>5</v>
      </c>
      <c r="B11" s="242" t="s">
        <v>639</v>
      </c>
      <c r="C11" s="242" t="s">
        <v>654</v>
      </c>
      <c r="D11" s="21">
        <v>45</v>
      </c>
      <c r="E11" s="21">
        <v>182</v>
      </c>
      <c r="F11" s="243">
        <f t="shared" si="0"/>
        <v>8190</v>
      </c>
      <c r="G11" s="244" t="s">
        <v>652</v>
      </c>
    </row>
    <row r="12" spans="1:7" ht="47.25">
      <c r="A12" s="241">
        <v>6</v>
      </c>
      <c r="B12" s="242" t="s">
        <v>640</v>
      </c>
      <c r="C12" s="242" t="s">
        <v>655</v>
      </c>
      <c r="D12" s="21">
        <v>45</v>
      </c>
      <c r="E12" s="21">
        <v>245</v>
      </c>
      <c r="F12" s="243">
        <f>D12*E12</f>
        <v>11025</v>
      </c>
      <c r="G12" s="244" t="s">
        <v>652</v>
      </c>
    </row>
    <row r="13" spans="1:6" ht="15.75">
      <c r="A13" s="241">
        <v>7</v>
      </c>
      <c r="B13" s="242" t="s">
        <v>641</v>
      </c>
      <c r="C13" s="242"/>
      <c r="D13" s="21">
        <v>20</v>
      </c>
      <c r="E13" s="21"/>
      <c r="F13" s="243">
        <f t="shared" si="0"/>
        <v>0</v>
      </c>
    </row>
    <row r="14" spans="1:7" ht="31.5">
      <c r="A14" s="241">
        <v>8</v>
      </c>
      <c r="B14" s="242" t="s">
        <v>642</v>
      </c>
      <c r="C14" s="242" t="s">
        <v>656</v>
      </c>
      <c r="D14" s="21">
        <v>15</v>
      </c>
      <c r="E14" s="21">
        <v>357</v>
      </c>
      <c r="F14" s="243">
        <f t="shared" si="0"/>
        <v>5355</v>
      </c>
      <c r="G14" s="244" t="s">
        <v>652</v>
      </c>
    </row>
    <row r="15" spans="1:7" ht="31.5">
      <c r="A15" s="241">
        <v>9</v>
      </c>
      <c r="B15" s="242" t="s">
        <v>643</v>
      </c>
      <c r="C15" s="242" t="s">
        <v>657</v>
      </c>
      <c r="D15" s="21">
        <v>5</v>
      </c>
      <c r="E15" s="21">
        <v>1638</v>
      </c>
      <c r="F15" s="243">
        <f t="shared" si="0"/>
        <v>8190</v>
      </c>
      <c r="G15" s="244" t="s">
        <v>652</v>
      </c>
    </row>
    <row r="16" spans="1:6" ht="15.75">
      <c r="A16" s="241">
        <v>10</v>
      </c>
      <c r="B16" s="242" t="s">
        <v>644</v>
      </c>
      <c r="C16" s="242"/>
      <c r="D16" s="21">
        <v>10</v>
      </c>
      <c r="E16" s="21"/>
      <c r="F16" s="243">
        <f t="shared" si="0"/>
        <v>0</v>
      </c>
    </row>
    <row r="17" spans="1:7" ht="47.25">
      <c r="A17" s="241">
        <v>11</v>
      </c>
      <c r="B17" s="242" t="s">
        <v>658</v>
      </c>
      <c r="C17" s="242"/>
      <c r="D17" s="21">
        <v>10</v>
      </c>
      <c r="E17" s="21">
        <v>35</v>
      </c>
      <c r="F17" s="243">
        <f t="shared" si="0"/>
        <v>350</v>
      </c>
      <c r="G17" s="244" t="s">
        <v>652</v>
      </c>
    </row>
    <row r="18" spans="1:7" ht="94.5">
      <c r="A18" s="241">
        <v>12</v>
      </c>
      <c r="B18" s="242" t="s">
        <v>645</v>
      </c>
      <c r="C18" s="242"/>
      <c r="D18" s="21">
        <v>2</v>
      </c>
      <c r="E18" s="21">
        <v>480</v>
      </c>
      <c r="F18" s="243">
        <f t="shared" si="0"/>
        <v>960</v>
      </c>
      <c r="G18" s="244" t="s">
        <v>652</v>
      </c>
    </row>
    <row r="19" spans="1:7" ht="63">
      <c r="A19" s="241">
        <v>13</v>
      </c>
      <c r="B19" s="242" t="s">
        <v>646</v>
      </c>
      <c r="C19" s="242"/>
      <c r="D19" s="21">
        <v>3</v>
      </c>
      <c r="E19" s="21">
        <v>75.56</v>
      </c>
      <c r="F19" s="243">
        <f t="shared" si="0"/>
        <v>226.68</v>
      </c>
      <c r="G19" s="246" t="s">
        <v>660</v>
      </c>
    </row>
    <row r="20" spans="1:7" ht="63">
      <c r="A20" s="241">
        <v>14</v>
      </c>
      <c r="B20" s="242" t="s">
        <v>647</v>
      </c>
      <c r="C20" s="242"/>
      <c r="D20" s="21">
        <v>3</v>
      </c>
      <c r="E20" s="21">
        <v>75.56</v>
      </c>
      <c r="F20" s="243">
        <f t="shared" si="0"/>
        <v>226.68</v>
      </c>
      <c r="G20" s="246" t="s">
        <v>660</v>
      </c>
    </row>
    <row r="21" spans="1:7" ht="63">
      <c r="A21" s="241">
        <v>15</v>
      </c>
      <c r="B21" s="242" t="s">
        <v>648</v>
      </c>
      <c r="C21" s="242"/>
      <c r="D21" s="21"/>
      <c r="E21" s="21"/>
      <c r="F21" s="243">
        <f t="shared" si="0"/>
        <v>0</v>
      </c>
      <c r="G21" s="246" t="s">
        <v>660</v>
      </c>
    </row>
    <row r="22" spans="1:7" ht="47.25">
      <c r="A22" s="241">
        <v>16</v>
      </c>
      <c r="B22" s="242" t="s">
        <v>649</v>
      </c>
      <c r="C22" s="242"/>
      <c r="D22" s="21">
        <v>3</v>
      </c>
      <c r="E22" s="21">
        <v>116.78</v>
      </c>
      <c r="F22" s="243">
        <f t="shared" si="0"/>
        <v>350.34000000000003</v>
      </c>
      <c r="G22" s="246" t="s">
        <v>660</v>
      </c>
    </row>
    <row r="23" spans="1:7" ht="94.5">
      <c r="A23" s="241">
        <v>17</v>
      </c>
      <c r="B23" s="242" t="s">
        <v>650</v>
      </c>
      <c r="C23" s="242"/>
      <c r="D23" s="21">
        <v>10</v>
      </c>
      <c r="E23" s="21">
        <v>98.12</v>
      </c>
      <c r="F23" s="243">
        <f t="shared" si="0"/>
        <v>981.2</v>
      </c>
      <c r="G23" s="246" t="s">
        <v>660</v>
      </c>
    </row>
    <row r="24" spans="1:7" ht="15.75">
      <c r="A24" s="241">
        <v>18</v>
      </c>
      <c r="B24" s="242" t="s">
        <v>661</v>
      </c>
      <c r="C24" s="242"/>
      <c r="D24" s="64">
        <v>30</v>
      </c>
      <c r="E24" s="21">
        <v>98.12</v>
      </c>
      <c r="F24" s="243">
        <f t="shared" si="0"/>
        <v>2943.6000000000004</v>
      </c>
      <c r="G24" s="246" t="s">
        <v>660</v>
      </c>
    </row>
    <row r="25" spans="1:7" ht="31.5">
      <c r="A25" s="241">
        <v>19</v>
      </c>
      <c r="B25" s="242" t="s">
        <v>651</v>
      </c>
      <c r="C25" s="242" t="s">
        <v>659</v>
      </c>
      <c r="D25" s="64">
        <v>35</v>
      </c>
      <c r="E25" s="21">
        <v>280.34</v>
      </c>
      <c r="F25" s="243">
        <f t="shared" si="0"/>
        <v>9811.9</v>
      </c>
      <c r="G25" s="244" t="s">
        <v>652</v>
      </c>
    </row>
    <row r="28" spans="3:4" ht="15.75">
      <c r="C28" s="244" t="s">
        <v>652</v>
      </c>
      <c r="D28" s="247">
        <f>F11+F12+F14+F15+F17+F18+F25</f>
        <v>43881.9</v>
      </c>
    </row>
    <row r="29" spans="3:4" ht="15.75">
      <c r="C29" s="246" t="s">
        <v>660</v>
      </c>
      <c r="D29" s="247">
        <f>F19+F20+F21+F22+F23+F24</f>
        <v>4728.5</v>
      </c>
    </row>
    <row r="30" spans="3:4" ht="15.75">
      <c r="C30" s="245" t="s">
        <v>653</v>
      </c>
      <c r="D30" s="247">
        <f>F10</f>
        <v>45000</v>
      </c>
    </row>
    <row r="31" ht="15.75">
      <c r="D31" s="227">
        <f>SUM(D28:D30)</f>
        <v>93610.4</v>
      </c>
    </row>
  </sheetData>
  <sheetProtection/>
  <mergeCells count="4">
    <mergeCell ref="A5:A6"/>
    <mergeCell ref="B5:B6"/>
    <mergeCell ref="E5:E6"/>
    <mergeCell ref="F5:F6"/>
  </mergeCells>
  <printOptions/>
  <pageMargins left="0.1968503937007874" right="0.1968503937007874" top="0.1968503937007874" bottom="0.1968503937007874" header="0.31496062992125984" footer="0.31496062992125984"/>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O323"/>
  <sheetViews>
    <sheetView zoomScale="90" zoomScaleNormal="90" zoomScalePageLayoutView="0" workbookViewId="0" topLeftCell="B16">
      <selection activeCell="I36" sqref="I36"/>
    </sheetView>
  </sheetViews>
  <sheetFormatPr defaultColWidth="9.140625" defaultRowHeight="15"/>
  <cols>
    <col min="1" max="1" width="9.140625" style="139" hidden="1" customWidth="1"/>
    <col min="2" max="2" width="73.140625" style="139" customWidth="1"/>
    <col min="3" max="3" width="7.140625" style="140" customWidth="1"/>
    <col min="4" max="4" width="8.140625" style="140" customWidth="1"/>
    <col min="5" max="5" width="12.57421875" style="140" customWidth="1"/>
    <col min="6" max="6" width="14.140625" style="139" customWidth="1"/>
    <col min="7" max="7" width="10.00390625" style="139" customWidth="1"/>
    <col min="8" max="8" width="10.7109375" style="139" customWidth="1"/>
    <col min="9" max="9" width="14.8515625" style="139" customWidth="1"/>
    <col min="10" max="10" width="14.57421875" style="139" customWidth="1"/>
    <col min="11" max="11" width="82.7109375" style="139" hidden="1" customWidth="1"/>
    <col min="12" max="12" width="11.140625" style="139" customWidth="1"/>
    <col min="13" max="13" width="9.140625" style="139" customWidth="1"/>
    <col min="14" max="15" width="12.28125" style="139" bestFit="1" customWidth="1"/>
    <col min="16" max="16384" width="9.140625" style="139" customWidth="1"/>
  </cols>
  <sheetData>
    <row r="1" ht="18.75">
      <c r="G1" s="139" t="s">
        <v>453</v>
      </c>
    </row>
    <row r="2" spans="2:6" ht="18.75">
      <c r="B2" s="140"/>
      <c r="E2" s="139"/>
      <c r="F2" s="139" t="s">
        <v>454</v>
      </c>
    </row>
    <row r="3" spans="2:6" ht="18.75">
      <c r="B3" s="140"/>
      <c r="E3" s="139"/>
      <c r="F3" s="139" t="s">
        <v>455</v>
      </c>
    </row>
    <row r="4" spans="2:5" ht="18.75">
      <c r="B4" s="140"/>
      <c r="E4" s="139"/>
    </row>
    <row r="5" spans="2:9" ht="18.75">
      <c r="B5" s="140"/>
      <c r="E5" s="139"/>
      <c r="F5" s="139" t="s">
        <v>456</v>
      </c>
      <c r="I5" s="139" t="s">
        <v>457</v>
      </c>
    </row>
    <row r="7" spans="8:9" ht="18.75">
      <c r="H7" s="141" t="s">
        <v>458</v>
      </c>
      <c r="I7" s="142" t="s">
        <v>459</v>
      </c>
    </row>
    <row r="8" spans="8:9" ht="18.75">
      <c r="H8" s="141" t="s">
        <v>460</v>
      </c>
      <c r="I8" s="142"/>
    </row>
    <row r="9" spans="8:9" ht="18.75">
      <c r="H9" s="141" t="s">
        <v>461</v>
      </c>
      <c r="I9" s="142"/>
    </row>
    <row r="10" spans="8:9" ht="18.75">
      <c r="H10" s="141" t="s">
        <v>462</v>
      </c>
      <c r="I10" s="142"/>
    </row>
    <row r="11" spans="8:9" ht="18.75">
      <c r="H11" s="427" t="s">
        <v>463</v>
      </c>
      <c r="I11" s="428"/>
    </row>
    <row r="12" ht="10.5" customHeight="1"/>
    <row r="13" spans="3:10" ht="18.75">
      <c r="C13" s="429"/>
      <c r="D13" s="429"/>
      <c r="E13" s="429"/>
      <c r="F13" s="429"/>
      <c r="I13" s="430" t="s">
        <v>464</v>
      </c>
      <c r="J13" s="430"/>
    </row>
    <row r="14" spans="2:10" ht="48.75" customHeight="1">
      <c r="B14" s="144" t="s">
        <v>465</v>
      </c>
      <c r="C14" s="431" t="s">
        <v>466</v>
      </c>
      <c r="D14" s="431"/>
      <c r="E14" s="431"/>
      <c r="F14" s="431"/>
      <c r="G14" s="431"/>
      <c r="H14" s="145"/>
      <c r="I14" s="141" t="s">
        <v>467</v>
      </c>
      <c r="J14" s="142">
        <v>39007143</v>
      </c>
    </row>
    <row r="15" spans="2:10" ht="18.75">
      <c r="B15" s="144" t="s">
        <v>468</v>
      </c>
      <c r="C15" s="424" t="s">
        <v>469</v>
      </c>
      <c r="D15" s="424"/>
      <c r="E15" s="424"/>
      <c r="F15" s="424"/>
      <c r="G15" s="146"/>
      <c r="H15" s="147"/>
      <c r="I15" s="141" t="s">
        <v>470</v>
      </c>
      <c r="J15" s="142">
        <v>150</v>
      </c>
    </row>
    <row r="16" spans="2:10" ht="18.75">
      <c r="B16" s="144" t="s">
        <v>471</v>
      </c>
      <c r="C16" s="424" t="s">
        <v>472</v>
      </c>
      <c r="D16" s="424"/>
      <c r="E16" s="424"/>
      <c r="F16" s="424"/>
      <c r="G16" s="146"/>
      <c r="H16" s="147"/>
      <c r="I16" s="141" t="s">
        <v>473</v>
      </c>
      <c r="J16" s="142">
        <v>2610600000</v>
      </c>
    </row>
    <row r="17" spans="2:10" ht="18.75">
      <c r="B17" s="144" t="s">
        <v>474</v>
      </c>
      <c r="C17" s="424"/>
      <c r="D17" s="424"/>
      <c r="E17" s="424"/>
      <c r="F17" s="424"/>
      <c r="G17" s="148"/>
      <c r="H17" s="145"/>
      <c r="I17" s="141" t="s">
        <v>475</v>
      </c>
      <c r="J17" s="142"/>
    </row>
    <row r="18" spans="2:10" ht="18.75">
      <c r="B18" s="144" t="s">
        <v>476</v>
      </c>
      <c r="C18" s="424"/>
      <c r="D18" s="424"/>
      <c r="E18" s="424"/>
      <c r="F18" s="424"/>
      <c r="G18" s="148"/>
      <c r="H18" s="145"/>
      <c r="I18" s="141" t="s">
        <v>477</v>
      </c>
      <c r="J18" s="142"/>
    </row>
    <row r="19" spans="2:10" ht="18.75">
      <c r="B19" s="144" t="s">
        <v>478</v>
      </c>
      <c r="C19" s="424"/>
      <c r="D19" s="424"/>
      <c r="E19" s="424"/>
      <c r="F19" s="424"/>
      <c r="G19" s="148"/>
      <c r="H19" s="149"/>
      <c r="I19" s="150" t="s">
        <v>479</v>
      </c>
      <c r="J19" s="142" t="s">
        <v>480</v>
      </c>
    </row>
    <row r="20" spans="2:10" ht="18.75">
      <c r="B20" s="144" t="s">
        <v>481</v>
      </c>
      <c r="C20" s="424"/>
      <c r="D20" s="424"/>
      <c r="E20" s="424"/>
      <c r="F20" s="424"/>
      <c r="G20" s="424" t="s">
        <v>482</v>
      </c>
      <c r="H20" s="425"/>
      <c r="I20" s="426"/>
      <c r="J20" s="151" t="s">
        <v>459</v>
      </c>
    </row>
    <row r="21" spans="2:10" ht="18.75">
      <c r="B21" s="144" t="s">
        <v>483</v>
      </c>
      <c r="C21" s="424" t="s">
        <v>484</v>
      </c>
      <c r="D21" s="424"/>
      <c r="E21" s="424"/>
      <c r="F21" s="424"/>
      <c r="G21" s="424" t="s">
        <v>485</v>
      </c>
      <c r="H21" s="425"/>
      <c r="I21" s="426"/>
      <c r="J21" s="152"/>
    </row>
    <row r="22" spans="2:10" ht="18.75">
      <c r="B22" s="144" t="s">
        <v>486</v>
      </c>
      <c r="C22" s="421">
        <v>220</v>
      </c>
      <c r="D22" s="421"/>
      <c r="E22" s="421"/>
      <c r="F22" s="421"/>
      <c r="G22" s="148"/>
      <c r="H22" s="148"/>
      <c r="I22" s="148"/>
      <c r="J22" s="145"/>
    </row>
    <row r="23" spans="2:10" ht="18.75">
      <c r="B23" s="144" t="s">
        <v>487</v>
      </c>
      <c r="C23" s="424" t="s">
        <v>488</v>
      </c>
      <c r="D23" s="424"/>
      <c r="E23" s="424"/>
      <c r="F23" s="424"/>
      <c r="G23" s="424"/>
      <c r="H23" s="424"/>
      <c r="I23" s="424"/>
      <c r="J23" s="432"/>
    </row>
    <row r="24" spans="2:10" ht="18.75">
      <c r="B24" s="144" t="s">
        <v>489</v>
      </c>
      <c r="C24" s="420" t="s">
        <v>490</v>
      </c>
      <c r="D24" s="420"/>
      <c r="E24" s="420"/>
      <c r="F24" s="420"/>
      <c r="G24" s="148"/>
      <c r="H24" s="148"/>
      <c r="I24" s="148"/>
      <c r="J24" s="145"/>
    </row>
    <row r="25" spans="2:10" ht="18.75">
      <c r="B25" s="144" t="s">
        <v>491</v>
      </c>
      <c r="C25" s="421" t="s">
        <v>492</v>
      </c>
      <c r="D25" s="421"/>
      <c r="E25" s="421"/>
      <c r="F25" s="421"/>
      <c r="G25" s="146"/>
      <c r="H25" s="146"/>
      <c r="I25" s="146"/>
      <c r="J25" s="147"/>
    </row>
    <row r="26" ht="10.5" customHeight="1"/>
    <row r="27" spans="2:10" ht="18.75">
      <c r="B27" s="422" t="s">
        <v>493</v>
      </c>
      <c r="C27" s="422"/>
      <c r="D27" s="422"/>
      <c r="E27" s="422"/>
      <c r="F27" s="422"/>
      <c r="G27" s="422"/>
      <c r="H27" s="422"/>
      <c r="I27" s="422"/>
      <c r="J27" s="422"/>
    </row>
    <row r="28" spans="2:12" ht="8.25" customHeight="1">
      <c r="B28" s="423"/>
      <c r="C28" s="423"/>
      <c r="D28" s="423"/>
      <c r="E28" s="423"/>
      <c r="F28" s="423"/>
      <c r="G28" s="423"/>
      <c r="H28" s="423"/>
      <c r="I28" s="423"/>
      <c r="J28" s="423"/>
      <c r="K28" s="154"/>
      <c r="L28" s="154"/>
    </row>
    <row r="29" spans="2:10" ht="18.75">
      <c r="B29" s="153"/>
      <c r="C29" s="155"/>
      <c r="D29" s="153"/>
      <c r="E29" s="153"/>
      <c r="F29" s="153"/>
      <c r="G29" s="153"/>
      <c r="H29" s="153"/>
      <c r="I29" s="153"/>
      <c r="J29" s="153" t="s">
        <v>494</v>
      </c>
    </row>
    <row r="30" spans="2:12" ht="18.75">
      <c r="B30" s="430" t="s">
        <v>495</v>
      </c>
      <c r="C30" s="437" t="s">
        <v>496</v>
      </c>
      <c r="D30" s="443" t="s">
        <v>497</v>
      </c>
      <c r="E30" s="443" t="s">
        <v>498</v>
      </c>
      <c r="F30" s="437" t="s">
        <v>499</v>
      </c>
      <c r="G30" s="438" t="s">
        <v>500</v>
      </c>
      <c r="H30" s="438"/>
      <c r="I30" s="438"/>
      <c r="J30" s="438"/>
      <c r="K30" s="438" t="s">
        <v>501</v>
      </c>
      <c r="L30" s="155"/>
    </row>
    <row r="31" spans="2:12" ht="18.75">
      <c r="B31" s="430"/>
      <c r="C31" s="437"/>
      <c r="D31" s="443"/>
      <c r="E31" s="443"/>
      <c r="F31" s="437"/>
      <c r="G31" s="156" t="s">
        <v>502</v>
      </c>
      <c r="H31" s="156" t="s">
        <v>503</v>
      </c>
      <c r="I31" s="156" t="s">
        <v>504</v>
      </c>
      <c r="J31" s="156" t="s">
        <v>505</v>
      </c>
      <c r="K31" s="438"/>
      <c r="L31" s="155"/>
    </row>
    <row r="32" spans="2:12" ht="18.75">
      <c r="B32" s="142">
        <v>1</v>
      </c>
      <c r="C32" s="151">
        <v>2</v>
      </c>
      <c r="D32" s="151">
        <v>3</v>
      </c>
      <c r="E32" s="151">
        <v>4</v>
      </c>
      <c r="F32" s="151">
        <v>5</v>
      </c>
      <c r="G32" s="151">
        <v>6</v>
      </c>
      <c r="H32" s="151">
        <v>7</v>
      </c>
      <c r="I32" s="151">
        <v>8</v>
      </c>
      <c r="J32" s="151">
        <v>9</v>
      </c>
      <c r="K32" s="151">
        <v>10</v>
      </c>
      <c r="L32" s="155"/>
    </row>
    <row r="33" spans="2:12" ht="18.75">
      <c r="B33" s="439" t="s">
        <v>506</v>
      </c>
      <c r="C33" s="439"/>
      <c r="D33" s="439"/>
      <c r="E33" s="439"/>
      <c r="F33" s="439"/>
      <c r="G33" s="439"/>
      <c r="H33" s="439"/>
      <c r="I33" s="439"/>
      <c r="J33" s="440"/>
      <c r="K33" s="151"/>
      <c r="L33" s="155"/>
    </row>
    <row r="34" spans="2:12" s="158" customFormat="1" ht="18.75" customHeight="1">
      <c r="B34" s="441" t="s">
        <v>507</v>
      </c>
      <c r="C34" s="441"/>
      <c r="D34" s="441"/>
      <c r="E34" s="441"/>
      <c r="F34" s="441"/>
      <c r="G34" s="441"/>
      <c r="H34" s="441"/>
      <c r="I34" s="441"/>
      <c r="J34" s="441"/>
      <c r="K34" s="441"/>
      <c r="L34" s="251"/>
    </row>
    <row r="35" spans="1:12" s="158" customFormat="1" ht="37.5">
      <c r="A35" s="158">
        <v>1</v>
      </c>
      <c r="B35" s="159" t="s">
        <v>508</v>
      </c>
      <c r="C35" s="160">
        <v>100</v>
      </c>
      <c r="D35" s="161"/>
      <c r="E35" s="161"/>
      <c r="F35" s="162">
        <f aca="true" t="shared" si="0" ref="F35:F44">SUM(G35:J35)</f>
        <v>11436.41</v>
      </c>
      <c r="G35" s="163"/>
      <c r="H35" s="163"/>
      <c r="I35" s="163">
        <f>-(I41+I60+I75+I86)-I37</f>
        <v>6902.5</v>
      </c>
      <c r="J35" s="163">
        <f>-(J41+J60+J75+J86)-J37</f>
        <v>4533.91</v>
      </c>
      <c r="K35" s="164" t="s">
        <v>509</v>
      </c>
      <c r="L35" s="190"/>
    </row>
    <row r="36" spans="1:12" s="158" customFormat="1" ht="56.25">
      <c r="A36" s="158">
        <v>2</v>
      </c>
      <c r="B36" s="159" t="s">
        <v>510</v>
      </c>
      <c r="C36" s="160">
        <v>110</v>
      </c>
      <c r="D36" s="161"/>
      <c r="E36" s="161"/>
      <c r="F36" s="162">
        <f t="shared" si="0"/>
        <v>0</v>
      </c>
      <c r="G36" s="163"/>
      <c r="H36" s="163"/>
      <c r="I36" s="163">
        <v>0</v>
      </c>
      <c r="J36" s="163">
        <v>0</v>
      </c>
      <c r="K36" s="164" t="s">
        <v>448</v>
      </c>
      <c r="L36" s="190"/>
    </row>
    <row r="37" spans="1:14" s="158" customFormat="1" ht="37.5">
      <c r="A37" s="158">
        <v>3</v>
      </c>
      <c r="B37" s="159" t="s">
        <v>511</v>
      </c>
      <c r="C37" s="160">
        <v>120</v>
      </c>
      <c r="D37" s="161"/>
      <c r="E37" s="161"/>
      <c r="F37" s="162">
        <f t="shared" si="0"/>
        <v>723.5</v>
      </c>
      <c r="G37" s="163"/>
      <c r="H37" s="163"/>
      <c r="I37" s="163">
        <f>I38+I39+I40</f>
        <v>223.5</v>
      </c>
      <c r="J37" s="163">
        <f>J38+J39+J40</f>
        <v>500</v>
      </c>
      <c r="K37" s="164"/>
      <c r="L37" s="190"/>
      <c r="N37" s="158">
        <v>136</v>
      </c>
    </row>
    <row r="38" spans="1:12" s="158" customFormat="1" ht="56.25">
      <c r="A38" s="158">
        <v>4</v>
      </c>
      <c r="B38" s="165" t="s">
        <v>512</v>
      </c>
      <c r="C38" s="166">
        <v>121</v>
      </c>
      <c r="D38" s="161"/>
      <c r="E38" s="161"/>
      <c r="F38" s="162">
        <f t="shared" si="0"/>
        <v>500</v>
      </c>
      <c r="G38" s="163"/>
      <c r="H38" s="163"/>
      <c r="I38" s="163"/>
      <c r="J38" s="163">
        <f>-(J47+J48+J49+J50+J66+J67)</f>
        <v>500</v>
      </c>
      <c r="K38" s="164"/>
      <c r="L38" s="190"/>
    </row>
    <row r="39" spans="1:12" s="158" customFormat="1" ht="37.5">
      <c r="A39" s="158">
        <v>5</v>
      </c>
      <c r="B39" s="165" t="s">
        <v>513</v>
      </c>
      <c r="C39" s="166">
        <v>122</v>
      </c>
      <c r="D39" s="161"/>
      <c r="E39" s="161"/>
      <c r="F39" s="162">
        <f t="shared" si="0"/>
        <v>0</v>
      </c>
      <c r="G39" s="163"/>
      <c r="H39" s="163"/>
      <c r="I39" s="163">
        <v>0</v>
      </c>
      <c r="J39" s="163">
        <v>0</v>
      </c>
      <c r="K39" s="164"/>
      <c r="L39" s="190"/>
    </row>
    <row r="40" spans="1:12" s="158" customFormat="1" ht="56.25">
      <c r="A40" s="158">
        <v>6</v>
      </c>
      <c r="B40" s="165" t="s">
        <v>514</v>
      </c>
      <c r="C40" s="166">
        <v>123</v>
      </c>
      <c r="D40" s="161"/>
      <c r="E40" s="161"/>
      <c r="F40" s="162">
        <f t="shared" si="0"/>
        <v>223.5</v>
      </c>
      <c r="G40" s="163"/>
      <c r="H40" s="163"/>
      <c r="I40" s="163">
        <f>-(I56)</f>
        <v>223.5</v>
      </c>
      <c r="J40" s="163">
        <f>-(J56)</f>
        <v>0</v>
      </c>
      <c r="K40" s="164" t="s">
        <v>515</v>
      </c>
      <c r="L40" s="190"/>
    </row>
    <row r="41" spans="1:12" ht="37.5">
      <c r="A41" s="158">
        <v>7</v>
      </c>
      <c r="B41" s="159" t="s">
        <v>516</v>
      </c>
      <c r="C41" s="160">
        <v>130</v>
      </c>
      <c r="D41" s="167">
        <f>SUM(D42:D59)</f>
        <v>0</v>
      </c>
      <c r="E41" s="167">
        <f>SUM(E42:E59)</f>
        <v>0</v>
      </c>
      <c r="F41" s="168">
        <f t="shared" si="0"/>
        <v>-10087.04</v>
      </c>
      <c r="G41" s="162">
        <f>SUM(G42:G59)</f>
        <v>0</v>
      </c>
      <c r="H41" s="162">
        <f>SUM(H42:H59)</f>
        <v>0</v>
      </c>
      <c r="I41" s="162">
        <f>I42+I45+I46+I51+SUM(I52:I59)</f>
        <v>-5837.66</v>
      </c>
      <c r="J41" s="162">
        <f>J42+J45+J46+J51+SUM(J52:J59)</f>
        <v>-4249.38</v>
      </c>
      <c r="K41" s="164"/>
      <c r="L41" s="190"/>
    </row>
    <row r="42" spans="1:12" s="171" customFormat="1" ht="18.75">
      <c r="A42" s="158">
        <v>8</v>
      </c>
      <c r="B42" s="159" t="s">
        <v>517</v>
      </c>
      <c r="C42" s="151">
        <v>140</v>
      </c>
      <c r="D42" s="169"/>
      <c r="E42" s="169"/>
      <c r="F42" s="168">
        <f t="shared" si="0"/>
        <v>-381</v>
      </c>
      <c r="G42" s="170"/>
      <c r="H42" s="170"/>
      <c r="I42" s="170">
        <f>SUM(I43:I44)</f>
        <v>-254.42000000000002</v>
      </c>
      <c r="J42" s="170">
        <f>SUM(J43:J44)</f>
        <v>-126.58</v>
      </c>
      <c r="K42" s="164"/>
      <c r="L42" s="190"/>
    </row>
    <row r="43" spans="1:15" s="171" customFormat="1" ht="18.75">
      <c r="A43" s="158">
        <v>9</v>
      </c>
      <c r="B43" s="165" t="s">
        <v>518</v>
      </c>
      <c r="C43" s="172">
        <v>141</v>
      </c>
      <c r="D43" s="161"/>
      <c r="E43" s="161"/>
      <c r="F43" s="162">
        <f t="shared" si="0"/>
        <v>-265</v>
      </c>
      <c r="G43" s="163"/>
      <c r="H43" s="163"/>
      <c r="I43" s="163">
        <v>-157.5</v>
      </c>
      <c r="J43" s="163">
        <v>-107.5</v>
      </c>
      <c r="K43" s="164"/>
      <c r="L43" s="190"/>
      <c r="M43" s="171">
        <v>2220</v>
      </c>
      <c r="N43" s="202">
        <f>Помісячно!Q12</f>
        <v>157500</v>
      </c>
      <c r="O43" s="202">
        <f>Помісячно!R12</f>
        <v>107500</v>
      </c>
    </row>
    <row r="44" spans="1:15" s="171" customFormat="1" ht="56.25">
      <c r="A44" s="158">
        <v>10</v>
      </c>
      <c r="B44" s="165" t="s">
        <v>519</v>
      </c>
      <c r="C44" s="172">
        <v>142</v>
      </c>
      <c r="D44" s="161"/>
      <c r="E44" s="161"/>
      <c r="F44" s="162">
        <f t="shared" si="0"/>
        <v>-116</v>
      </c>
      <c r="G44" s="163"/>
      <c r="H44" s="163"/>
      <c r="I44" s="163">
        <v>-96.92</v>
      </c>
      <c r="J44" s="163">
        <v>-19.08</v>
      </c>
      <c r="K44" s="164"/>
      <c r="L44" s="190"/>
      <c r="M44" s="171">
        <v>2210</v>
      </c>
      <c r="N44" s="202">
        <f>Помісячно!Q11</f>
        <v>211416</v>
      </c>
      <c r="O44" s="202">
        <f>Помісячно!R11</f>
        <v>148584</v>
      </c>
    </row>
    <row r="45" spans="1:14" s="171" customFormat="1" ht="18.75">
      <c r="A45" s="158">
        <v>11</v>
      </c>
      <c r="B45" s="159" t="s">
        <v>520</v>
      </c>
      <c r="C45" s="151">
        <v>150</v>
      </c>
      <c r="D45" s="161"/>
      <c r="E45" s="161"/>
      <c r="F45" s="162">
        <f aca="true" t="shared" si="1" ref="F45:F75">SUM(G45:J45)</f>
        <v>-167.8</v>
      </c>
      <c r="G45" s="173"/>
      <c r="H45" s="163"/>
      <c r="I45" s="163">
        <v>-83.9</v>
      </c>
      <c r="J45" s="163">
        <v>-83.9</v>
      </c>
      <c r="K45" s="164"/>
      <c r="L45" s="190"/>
      <c r="M45" s="171">
        <v>2210</v>
      </c>
      <c r="N45" s="171" t="e">
        <f>(#REF!+#REF!)/2</f>
        <v>#REF!</v>
      </c>
    </row>
    <row r="46" spans="1:15" s="171" customFormat="1" ht="18.75">
      <c r="A46" s="158">
        <v>12</v>
      </c>
      <c r="B46" s="159" t="s">
        <v>521</v>
      </c>
      <c r="C46" s="151">
        <v>160</v>
      </c>
      <c r="D46" s="169"/>
      <c r="E46" s="169"/>
      <c r="F46" s="174">
        <f>SUM(G46:J46)</f>
        <v>-501.3</v>
      </c>
      <c r="G46" s="170"/>
      <c r="H46" s="170"/>
      <c r="I46" s="170">
        <f>SUM(I47:I50)</f>
        <v>-13.3</v>
      </c>
      <c r="J46" s="170">
        <f>SUM(J47:J50)</f>
        <v>-488</v>
      </c>
      <c r="K46" s="164"/>
      <c r="L46" s="190"/>
      <c r="N46" s="202">
        <f>Помісячно!Q16</f>
        <v>0</v>
      </c>
      <c r="O46" s="202">
        <f>Помісячно!R16</f>
        <v>0</v>
      </c>
    </row>
    <row r="47" spans="1:15" s="171" customFormat="1" ht="18.75">
      <c r="A47" s="158">
        <v>13</v>
      </c>
      <c r="B47" s="165" t="s">
        <v>522</v>
      </c>
      <c r="C47" s="172">
        <v>161</v>
      </c>
      <c r="D47" s="161"/>
      <c r="E47" s="161"/>
      <c r="F47" s="162">
        <f t="shared" si="1"/>
        <v>-278.95</v>
      </c>
      <c r="G47" s="163"/>
      <c r="H47" s="163"/>
      <c r="I47" s="163">
        <v>-11.25</v>
      </c>
      <c r="J47" s="163">
        <v>-267.7</v>
      </c>
      <c r="K47" s="164"/>
      <c r="L47" s="190"/>
      <c r="N47" s="202">
        <f>Помісячно!Q19</f>
        <v>18680</v>
      </c>
      <c r="O47" s="202">
        <f>Помісячно!R19</f>
        <v>230140</v>
      </c>
    </row>
    <row r="48" spans="1:15" s="171" customFormat="1" ht="18.75">
      <c r="A48" s="158">
        <v>14</v>
      </c>
      <c r="B48" s="165" t="s">
        <v>523</v>
      </c>
      <c r="C48" s="172">
        <v>162</v>
      </c>
      <c r="D48" s="161"/>
      <c r="E48" s="161"/>
      <c r="F48" s="162">
        <f t="shared" si="1"/>
        <v>-4.05</v>
      </c>
      <c r="G48" s="163"/>
      <c r="H48" s="163"/>
      <c r="I48" s="163">
        <v>-2.05</v>
      </c>
      <c r="J48" s="163">
        <v>-2</v>
      </c>
      <c r="K48" s="164"/>
      <c r="L48" s="190"/>
      <c r="N48" s="202">
        <f>Помісячно!Q18</f>
        <v>3476</v>
      </c>
      <c r="O48" s="202">
        <f>Помісячно!R18</f>
        <v>2675</v>
      </c>
    </row>
    <row r="49" spans="1:12" s="171" customFormat="1" ht="18.75">
      <c r="A49" s="158">
        <v>15</v>
      </c>
      <c r="B49" s="165" t="s">
        <v>524</v>
      </c>
      <c r="C49" s="172">
        <v>163</v>
      </c>
      <c r="D49" s="161"/>
      <c r="E49" s="161"/>
      <c r="F49" s="162">
        <f t="shared" si="1"/>
        <v>-16.3</v>
      </c>
      <c r="G49" s="163"/>
      <c r="H49" s="163"/>
      <c r="I49" s="163"/>
      <c r="J49" s="163">
        <v>-16.3</v>
      </c>
      <c r="K49" s="164"/>
      <c r="L49" s="190"/>
    </row>
    <row r="50" spans="1:15" s="171" customFormat="1" ht="18.75">
      <c r="A50" s="158">
        <v>16</v>
      </c>
      <c r="B50" s="165" t="s">
        <v>526</v>
      </c>
      <c r="C50" s="172">
        <v>164</v>
      </c>
      <c r="D50" s="161"/>
      <c r="E50" s="161"/>
      <c r="F50" s="162">
        <f t="shared" si="1"/>
        <v>-202</v>
      </c>
      <c r="G50" s="163"/>
      <c r="H50" s="163"/>
      <c r="I50" s="163"/>
      <c r="J50" s="163">
        <v>-202</v>
      </c>
      <c r="K50" s="164"/>
      <c r="L50" s="190"/>
      <c r="N50" s="202">
        <f>Помісячно!Q17</f>
        <v>0</v>
      </c>
      <c r="O50" s="202">
        <f>Помісячно!R17</f>
        <v>215252</v>
      </c>
    </row>
    <row r="51" spans="1:15" s="171" customFormat="1" ht="37.5">
      <c r="A51" s="158">
        <v>17</v>
      </c>
      <c r="B51" s="159" t="s">
        <v>527</v>
      </c>
      <c r="C51" s="151">
        <v>170</v>
      </c>
      <c r="D51" s="161"/>
      <c r="E51" s="161"/>
      <c r="F51" s="162">
        <f t="shared" si="1"/>
        <v>-486.61</v>
      </c>
      <c r="G51" s="163"/>
      <c r="H51" s="163"/>
      <c r="I51" s="163">
        <v>-318.81</v>
      </c>
      <c r="J51" s="163">
        <v>-167.8</v>
      </c>
      <c r="K51" s="164"/>
      <c r="L51" s="190"/>
      <c r="M51" s="171">
        <v>2240</v>
      </c>
      <c r="N51" s="202">
        <f>Помісячно!Q14</f>
        <v>404150</v>
      </c>
      <c r="O51" s="202">
        <f>Помісячно!R14</f>
        <v>130000</v>
      </c>
    </row>
    <row r="52" spans="1:12" s="171" customFormat="1" ht="18.75">
      <c r="A52" s="158">
        <v>18</v>
      </c>
      <c r="B52" s="159" t="s">
        <v>528</v>
      </c>
      <c r="C52" s="151">
        <v>180</v>
      </c>
      <c r="D52" s="161"/>
      <c r="E52" s="161"/>
      <c r="F52" s="162">
        <f>SUM(G52:J52)</f>
        <v>-6614.18</v>
      </c>
      <c r="G52" s="163"/>
      <c r="H52" s="163"/>
      <c r="I52" s="163">
        <v>-3856.46</v>
      </c>
      <c r="J52" s="163">
        <v>-2757.72</v>
      </c>
      <c r="K52" s="164"/>
      <c r="L52" s="190"/>
    </row>
    <row r="53" spans="1:12" s="171" customFormat="1" ht="18.75">
      <c r="A53" s="158">
        <v>19</v>
      </c>
      <c r="B53" s="159" t="s">
        <v>529</v>
      </c>
      <c r="C53" s="151">
        <v>190</v>
      </c>
      <c r="D53" s="161"/>
      <c r="E53" s="161"/>
      <c r="F53" s="162">
        <f t="shared" si="1"/>
        <v>-1455.28</v>
      </c>
      <c r="G53" s="163"/>
      <c r="H53" s="163"/>
      <c r="I53" s="163">
        <v>-882.4</v>
      </c>
      <c r="J53" s="163">
        <v>-572.88</v>
      </c>
      <c r="K53" s="164"/>
      <c r="L53" s="190"/>
    </row>
    <row r="54" spans="1:15" s="171" customFormat="1" ht="18.75">
      <c r="A54" s="158">
        <v>20</v>
      </c>
      <c r="B54" s="159" t="s">
        <v>530</v>
      </c>
      <c r="C54" s="151">
        <v>200</v>
      </c>
      <c r="D54" s="161"/>
      <c r="E54" s="161"/>
      <c r="F54" s="162">
        <f t="shared" si="1"/>
        <v>-129</v>
      </c>
      <c r="G54" s="163"/>
      <c r="H54" s="163"/>
      <c r="I54" s="163">
        <v>-86.5</v>
      </c>
      <c r="J54" s="163">
        <v>-42.5</v>
      </c>
      <c r="K54" s="164"/>
      <c r="L54" s="190"/>
      <c r="N54" s="202">
        <f>Помісячно!Q15</f>
        <v>95000</v>
      </c>
      <c r="O54" s="202">
        <f>Помісячно!R15</f>
        <v>50000</v>
      </c>
    </row>
    <row r="55" spans="1:15" s="171" customFormat="1" ht="18.75">
      <c r="A55" s="158">
        <v>21</v>
      </c>
      <c r="B55" s="159" t="s">
        <v>531</v>
      </c>
      <c r="C55" s="151">
        <v>210</v>
      </c>
      <c r="D55" s="161"/>
      <c r="E55" s="161"/>
      <c r="F55" s="162">
        <f t="shared" si="1"/>
        <v>-27.5</v>
      </c>
      <c r="G55" s="163"/>
      <c r="H55" s="163"/>
      <c r="I55" s="163">
        <v>-17.5</v>
      </c>
      <c r="J55" s="163">
        <v>-10</v>
      </c>
      <c r="K55" s="164"/>
      <c r="L55" s="190"/>
      <c r="N55" s="202">
        <f>Помісячно!Q25</f>
        <v>20000</v>
      </c>
      <c r="O55" s="202">
        <f>Помісячно!R25</f>
        <v>10000</v>
      </c>
    </row>
    <row r="56" spans="1:12" s="171" customFormat="1" ht="37.5">
      <c r="A56" s="158">
        <v>22</v>
      </c>
      <c r="B56" s="159" t="s">
        <v>532</v>
      </c>
      <c r="C56" s="151">
        <v>220</v>
      </c>
      <c r="D56" s="161"/>
      <c r="E56" s="161"/>
      <c r="F56" s="162">
        <f t="shared" si="1"/>
        <v>-223.5</v>
      </c>
      <c r="G56" s="163"/>
      <c r="H56" s="163"/>
      <c r="I56" s="163">
        <v>-223.5</v>
      </c>
      <c r="J56" s="163">
        <v>0</v>
      </c>
      <c r="K56" s="164" t="s">
        <v>515</v>
      </c>
      <c r="L56" s="190"/>
    </row>
    <row r="57" spans="1:12" s="171" customFormat="1" ht="37.5">
      <c r="A57" s="158">
        <v>23</v>
      </c>
      <c r="B57" s="159" t="s">
        <v>533</v>
      </c>
      <c r="C57" s="151">
        <v>230</v>
      </c>
      <c r="D57" s="161"/>
      <c r="E57" s="161"/>
      <c r="F57" s="162">
        <f t="shared" si="1"/>
        <v>-100</v>
      </c>
      <c r="G57" s="163"/>
      <c r="H57" s="163"/>
      <c r="I57" s="163">
        <v>-100</v>
      </c>
      <c r="J57" s="163">
        <v>0</v>
      </c>
      <c r="K57" s="164" t="s">
        <v>534</v>
      </c>
      <c r="L57" s="190"/>
    </row>
    <row r="58" spans="1:12" s="171" customFormat="1" ht="18.75">
      <c r="A58" s="158">
        <v>24</v>
      </c>
      <c r="B58" s="159" t="s">
        <v>535</v>
      </c>
      <c r="C58" s="151">
        <v>240</v>
      </c>
      <c r="D58" s="161"/>
      <c r="E58" s="161"/>
      <c r="F58" s="162">
        <f t="shared" si="1"/>
        <v>0</v>
      </c>
      <c r="G58" s="163"/>
      <c r="H58" s="163"/>
      <c r="I58" s="163">
        <v>0</v>
      </c>
      <c r="J58" s="163">
        <v>0</v>
      </c>
      <c r="K58" s="164"/>
      <c r="L58" s="190"/>
    </row>
    <row r="59" spans="1:12" s="171" customFormat="1" ht="18.75">
      <c r="A59" s="158">
        <v>25</v>
      </c>
      <c r="B59" s="159" t="s">
        <v>628</v>
      </c>
      <c r="C59" s="160">
        <v>250</v>
      </c>
      <c r="D59" s="161"/>
      <c r="E59" s="161"/>
      <c r="F59" s="162">
        <f t="shared" si="1"/>
        <v>-0.87</v>
      </c>
      <c r="G59" s="163"/>
      <c r="H59" s="163"/>
      <c r="I59" s="163">
        <v>-0.87</v>
      </c>
      <c r="J59" s="163"/>
      <c r="K59" s="164" t="s">
        <v>537</v>
      </c>
      <c r="L59" s="190"/>
    </row>
    <row r="60" spans="1:12" ht="18.75">
      <c r="A60" s="158">
        <v>26</v>
      </c>
      <c r="B60" s="159" t="s">
        <v>538</v>
      </c>
      <c r="C60" s="160">
        <v>260</v>
      </c>
      <c r="D60" s="167">
        <f>SUM(D61:D69,D71)</f>
        <v>0</v>
      </c>
      <c r="E60" s="167">
        <f>SUM(E61:E69,E71)</f>
        <v>0</v>
      </c>
      <c r="F60" s="168">
        <f t="shared" si="1"/>
        <v>-1747.85</v>
      </c>
      <c r="G60" s="162">
        <f>SUM(G61:G69,G71)</f>
        <v>0</v>
      </c>
      <c r="H60" s="162">
        <f>SUM(H61:H69,H71)</f>
        <v>0</v>
      </c>
      <c r="I60" s="162">
        <f>SUM(I61:I71)</f>
        <v>-978.3199999999999</v>
      </c>
      <c r="J60" s="162">
        <f>SUM(J61:J71)</f>
        <v>-769.5300000000001</v>
      </c>
      <c r="K60" s="164"/>
      <c r="L60" s="190"/>
    </row>
    <row r="61" spans="1:12" ht="56.25">
      <c r="A61" s="158">
        <v>27</v>
      </c>
      <c r="B61" s="165" t="s">
        <v>539</v>
      </c>
      <c r="C61" s="166">
        <v>261</v>
      </c>
      <c r="D61" s="161"/>
      <c r="E61" s="161"/>
      <c r="F61" s="162">
        <f t="shared" si="1"/>
        <v>-27</v>
      </c>
      <c r="G61" s="163"/>
      <c r="H61" s="163"/>
      <c r="I61" s="163">
        <v>-13.5</v>
      </c>
      <c r="J61" s="163">
        <v>-13.5</v>
      </c>
      <c r="K61" s="164"/>
      <c r="L61" s="190"/>
    </row>
    <row r="62" spans="1:12" ht="37.5">
      <c r="A62" s="158">
        <v>28</v>
      </c>
      <c r="B62" s="165" t="s">
        <v>527</v>
      </c>
      <c r="C62" s="166">
        <v>262</v>
      </c>
      <c r="D62" s="161"/>
      <c r="E62" s="161"/>
      <c r="F62" s="162">
        <f t="shared" si="1"/>
        <v>-38.300000000000004</v>
      </c>
      <c r="G62" s="163"/>
      <c r="H62" s="163"/>
      <c r="I62" s="163">
        <v>-32.6</v>
      </c>
      <c r="J62" s="163">
        <v>-5.7</v>
      </c>
      <c r="K62" s="164" t="s">
        <v>540</v>
      </c>
      <c r="L62" s="190"/>
    </row>
    <row r="63" spans="1:14" s="171" customFormat="1" ht="18.75">
      <c r="A63" s="158">
        <v>29</v>
      </c>
      <c r="B63" s="165" t="s">
        <v>541</v>
      </c>
      <c r="C63" s="166">
        <v>263</v>
      </c>
      <c r="D63" s="161"/>
      <c r="E63" s="161"/>
      <c r="F63" s="162">
        <f t="shared" si="1"/>
        <v>-16</v>
      </c>
      <c r="G63" s="163"/>
      <c r="H63" s="163"/>
      <c r="I63" s="163">
        <v>-8.5</v>
      </c>
      <c r="J63" s="163">
        <v>-7.5</v>
      </c>
      <c r="K63" s="164" t="s">
        <v>542</v>
      </c>
      <c r="L63" s="190"/>
      <c r="N63" s="175"/>
    </row>
    <row r="64" spans="1:12" s="171" customFormat="1" ht="18.75">
      <c r="A64" s="158">
        <v>30</v>
      </c>
      <c r="B64" s="165" t="s">
        <v>543</v>
      </c>
      <c r="C64" s="166">
        <v>264</v>
      </c>
      <c r="D64" s="161"/>
      <c r="E64" s="161"/>
      <c r="F64" s="162">
        <f t="shared" si="1"/>
        <v>-1312.07</v>
      </c>
      <c r="G64" s="163"/>
      <c r="H64" s="163"/>
      <c r="I64" s="163">
        <v>-724.67</v>
      </c>
      <c r="J64" s="163">
        <v>-587.4</v>
      </c>
      <c r="K64" s="164"/>
      <c r="L64" s="190"/>
    </row>
    <row r="65" spans="1:12" s="171" customFormat="1" ht="18.75">
      <c r="A65" s="158">
        <v>31</v>
      </c>
      <c r="B65" s="165" t="s">
        <v>544</v>
      </c>
      <c r="C65" s="166">
        <v>265</v>
      </c>
      <c r="D65" s="161"/>
      <c r="E65" s="161"/>
      <c r="F65" s="162">
        <f t="shared" si="1"/>
        <v>-288.64</v>
      </c>
      <c r="G65" s="163"/>
      <c r="H65" s="163"/>
      <c r="I65" s="163">
        <v>-163.81</v>
      </c>
      <c r="J65" s="163">
        <v>-124.83</v>
      </c>
      <c r="K65" s="164"/>
      <c r="L65" s="190"/>
    </row>
    <row r="66" spans="1:12" s="171" customFormat="1" ht="18.75">
      <c r="A66" s="158">
        <v>32</v>
      </c>
      <c r="B66" s="165" t="s">
        <v>522</v>
      </c>
      <c r="C66" s="166">
        <v>266</v>
      </c>
      <c r="D66" s="161"/>
      <c r="E66" s="161"/>
      <c r="F66" s="162">
        <f t="shared" si="1"/>
        <v>-13.200000000000001</v>
      </c>
      <c r="G66" s="163"/>
      <c r="H66" s="163"/>
      <c r="I66" s="163">
        <v>-1.9</v>
      </c>
      <c r="J66" s="163">
        <v>-11.3</v>
      </c>
      <c r="K66" s="164" t="s">
        <v>545</v>
      </c>
      <c r="L66" s="190"/>
    </row>
    <row r="67" spans="1:12" s="171" customFormat="1" ht="18.75">
      <c r="A67" s="158">
        <v>33</v>
      </c>
      <c r="B67" s="165" t="s">
        <v>523</v>
      </c>
      <c r="C67" s="166">
        <v>267</v>
      </c>
      <c r="D67" s="161"/>
      <c r="E67" s="161"/>
      <c r="F67" s="162">
        <f t="shared" si="1"/>
        <v>-1.1</v>
      </c>
      <c r="G67" s="163"/>
      <c r="H67" s="163"/>
      <c r="I67" s="163">
        <v>-0.4</v>
      </c>
      <c r="J67" s="163">
        <v>-0.7</v>
      </c>
      <c r="K67" s="164"/>
      <c r="L67" s="190"/>
    </row>
    <row r="68" spans="1:12" s="171" customFormat="1" ht="18.75">
      <c r="A68" s="158">
        <v>34</v>
      </c>
      <c r="B68" s="159" t="s">
        <v>520</v>
      </c>
      <c r="C68" s="166">
        <v>268</v>
      </c>
      <c r="D68" s="161"/>
      <c r="E68" s="161"/>
      <c r="F68" s="162">
        <f t="shared" si="1"/>
        <v>-34.2</v>
      </c>
      <c r="G68" s="163"/>
      <c r="H68" s="163"/>
      <c r="I68" s="163">
        <v>-17.1</v>
      </c>
      <c r="J68" s="163">
        <v>-17.1</v>
      </c>
      <c r="K68" s="164"/>
      <c r="L68" s="190"/>
    </row>
    <row r="69" spans="1:12" s="171" customFormat="1" ht="18.75">
      <c r="A69" s="158">
        <v>35</v>
      </c>
      <c r="B69" s="159" t="s">
        <v>531</v>
      </c>
      <c r="C69" s="166">
        <v>269</v>
      </c>
      <c r="D69" s="161"/>
      <c r="E69" s="161"/>
      <c r="F69" s="162">
        <f t="shared" si="1"/>
        <v>-2.5</v>
      </c>
      <c r="G69" s="161"/>
      <c r="H69" s="161"/>
      <c r="I69" s="163">
        <v>-2.5</v>
      </c>
      <c r="J69" s="161"/>
      <c r="K69" s="164" t="s">
        <v>546</v>
      </c>
      <c r="L69" s="190"/>
    </row>
    <row r="70" spans="1:12" s="171" customFormat="1" ht="18.75">
      <c r="A70" s="158">
        <v>36</v>
      </c>
      <c r="B70" s="159" t="s">
        <v>547</v>
      </c>
      <c r="C70" s="160">
        <v>270</v>
      </c>
      <c r="D70" s="161"/>
      <c r="E70" s="161"/>
      <c r="F70" s="162">
        <f>SUM(G70:J70)</f>
        <v>0</v>
      </c>
      <c r="G70" s="163"/>
      <c r="H70" s="163"/>
      <c r="I70" s="163">
        <v>0</v>
      </c>
      <c r="J70" s="163">
        <v>0</v>
      </c>
      <c r="K70" s="164"/>
      <c r="L70" s="190"/>
    </row>
    <row r="71" spans="1:15" s="171" customFormat="1" ht="37.5">
      <c r="A71" s="158">
        <v>37</v>
      </c>
      <c r="B71" s="159" t="s">
        <v>629</v>
      </c>
      <c r="C71" s="160">
        <v>280</v>
      </c>
      <c r="D71" s="161"/>
      <c r="E71" s="161"/>
      <c r="F71" s="162">
        <f t="shared" si="1"/>
        <v>-14.84</v>
      </c>
      <c r="G71" s="163"/>
      <c r="H71" s="163"/>
      <c r="I71" s="163">
        <v>-13.34</v>
      </c>
      <c r="J71" s="163">
        <v>-1.5</v>
      </c>
      <c r="K71" s="164"/>
      <c r="L71" s="190"/>
      <c r="M71" s="171">
        <v>2800</v>
      </c>
      <c r="N71" s="202">
        <f>Помісячно!Q24</f>
        <v>1500</v>
      </c>
      <c r="O71" s="202">
        <f>Помісячно!R24</f>
        <v>1500</v>
      </c>
    </row>
    <row r="72" spans="1:12" s="171" customFormat="1" ht="18.75">
      <c r="A72" s="158">
        <v>38</v>
      </c>
      <c r="B72" s="159" t="s">
        <v>548</v>
      </c>
      <c r="C72" s="160">
        <v>290</v>
      </c>
      <c r="D72" s="169"/>
      <c r="E72" s="169"/>
      <c r="F72" s="162">
        <f t="shared" si="1"/>
        <v>0</v>
      </c>
      <c r="G72" s="170"/>
      <c r="H72" s="170"/>
      <c r="I72" s="170">
        <f>SUM(I73:I74)</f>
        <v>0</v>
      </c>
      <c r="J72" s="170">
        <f>SUM(J73:J74)</f>
        <v>0</v>
      </c>
      <c r="K72" s="164"/>
      <c r="L72" s="190"/>
    </row>
    <row r="73" spans="1:12" s="171" customFormat="1" ht="18.75">
      <c r="A73" s="158">
        <v>39</v>
      </c>
      <c r="B73" s="165" t="s">
        <v>549</v>
      </c>
      <c r="C73" s="176">
        <v>291</v>
      </c>
      <c r="D73" s="161"/>
      <c r="E73" s="161"/>
      <c r="F73" s="162">
        <f t="shared" si="1"/>
        <v>0</v>
      </c>
      <c r="G73" s="163"/>
      <c r="H73" s="163"/>
      <c r="I73" s="163">
        <v>0</v>
      </c>
      <c r="J73" s="163">
        <v>0</v>
      </c>
      <c r="K73" s="164"/>
      <c r="L73" s="190"/>
    </row>
    <row r="74" spans="1:12" s="171" customFormat="1" ht="18.75">
      <c r="A74" s="158">
        <v>40</v>
      </c>
      <c r="B74" s="165" t="s">
        <v>550</v>
      </c>
      <c r="C74" s="176">
        <v>292</v>
      </c>
      <c r="D74" s="161"/>
      <c r="E74" s="161"/>
      <c r="F74" s="162">
        <f t="shared" si="1"/>
        <v>0</v>
      </c>
      <c r="G74" s="161"/>
      <c r="H74" s="161"/>
      <c r="I74" s="163">
        <v>0</v>
      </c>
      <c r="J74" s="163">
        <v>0</v>
      </c>
      <c r="K74" s="164" t="s">
        <v>551</v>
      </c>
      <c r="L74" s="190"/>
    </row>
    <row r="75" spans="1:12" s="171" customFormat="1" ht="37.5">
      <c r="A75" s="158">
        <v>41</v>
      </c>
      <c r="B75" s="159" t="s">
        <v>552</v>
      </c>
      <c r="C75" s="142">
        <v>300</v>
      </c>
      <c r="D75" s="161"/>
      <c r="E75" s="161"/>
      <c r="F75" s="162">
        <f t="shared" si="1"/>
        <v>-15</v>
      </c>
      <c r="G75" s="161"/>
      <c r="H75" s="161"/>
      <c r="I75" s="161">
        <v>0</v>
      </c>
      <c r="J75" s="161">
        <v>-15</v>
      </c>
      <c r="K75" s="164"/>
      <c r="L75" s="190"/>
    </row>
    <row r="76" spans="1:12" s="171" customFormat="1" ht="18.75">
      <c r="A76" s="158">
        <v>42</v>
      </c>
      <c r="B76" s="442" t="s">
        <v>553</v>
      </c>
      <c r="C76" s="439"/>
      <c r="D76" s="439"/>
      <c r="E76" s="439"/>
      <c r="F76" s="439"/>
      <c r="G76" s="439"/>
      <c r="H76" s="439"/>
      <c r="I76" s="439"/>
      <c r="J76" s="440"/>
      <c r="K76" s="164"/>
      <c r="L76" s="190"/>
    </row>
    <row r="77" spans="1:12" s="171" customFormat="1" ht="18.75">
      <c r="A77" s="158">
        <v>43</v>
      </c>
      <c r="B77" s="159" t="s">
        <v>554</v>
      </c>
      <c r="C77" s="142">
        <v>310</v>
      </c>
      <c r="D77" s="161"/>
      <c r="E77" s="161"/>
      <c r="F77" s="162">
        <f aca="true" t="shared" si="2" ref="F77:F82">SUM(G77:J77)</f>
        <v>-2016.71</v>
      </c>
      <c r="G77" s="161"/>
      <c r="H77" s="161"/>
      <c r="I77" s="163">
        <f>I42+I45+I46+I51+I54+I55+I56+I57</f>
        <v>-1097.93</v>
      </c>
      <c r="J77" s="163">
        <f>J42+J45+J46+J51+J54+J55+J56+J57</f>
        <v>-918.78</v>
      </c>
      <c r="K77" s="164"/>
      <c r="L77" s="190"/>
    </row>
    <row r="78" spans="1:12" s="171" customFormat="1" ht="18.75">
      <c r="A78" s="158">
        <v>44</v>
      </c>
      <c r="B78" s="159" t="s">
        <v>528</v>
      </c>
      <c r="C78" s="142">
        <v>320</v>
      </c>
      <c r="D78" s="161"/>
      <c r="E78" s="161"/>
      <c r="F78" s="162">
        <f t="shared" si="2"/>
        <v>-7926.25</v>
      </c>
      <c r="G78" s="161"/>
      <c r="H78" s="161"/>
      <c r="I78" s="163">
        <f>I52+I64</f>
        <v>-4581.13</v>
      </c>
      <c r="J78" s="163">
        <f>J52+J64</f>
        <v>-3345.12</v>
      </c>
      <c r="K78" s="164"/>
      <c r="L78" s="190"/>
    </row>
    <row r="79" spans="1:12" s="171" customFormat="1" ht="18.75">
      <c r="A79" s="158">
        <v>45</v>
      </c>
      <c r="B79" s="159" t="s">
        <v>529</v>
      </c>
      <c r="C79" s="142">
        <v>330</v>
      </c>
      <c r="D79" s="161"/>
      <c r="E79" s="161"/>
      <c r="F79" s="162">
        <f t="shared" si="2"/>
        <v>-1743.92</v>
      </c>
      <c r="G79" s="161"/>
      <c r="H79" s="161"/>
      <c r="I79" s="163">
        <f>I53+I65</f>
        <v>-1046.21</v>
      </c>
      <c r="J79" s="163">
        <f>J53+J65</f>
        <v>-697.71</v>
      </c>
      <c r="K79" s="164"/>
      <c r="L79" s="190"/>
    </row>
    <row r="80" spans="1:12" s="171" customFormat="1" ht="18.75">
      <c r="A80" s="158">
        <v>46</v>
      </c>
      <c r="B80" s="159" t="s">
        <v>535</v>
      </c>
      <c r="C80" s="142">
        <v>340</v>
      </c>
      <c r="D80" s="161"/>
      <c r="E80" s="161"/>
      <c r="F80" s="162">
        <f t="shared" si="2"/>
        <v>0</v>
      </c>
      <c r="G80" s="161"/>
      <c r="H80" s="161"/>
      <c r="I80" s="163">
        <f>I58+I70</f>
        <v>0</v>
      </c>
      <c r="J80" s="163">
        <f>J58+J70</f>
        <v>0</v>
      </c>
      <c r="K80" s="164"/>
      <c r="L80" s="190"/>
    </row>
    <row r="81" spans="1:12" s="171" customFormat="1" ht="18.75">
      <c r="A81" s="158">
        <v>47</v>
      </c>
      <c r="B81" s="159" t="s">
        <v>555</v>
      </c>
      <c r="C81" s="142">
        <v>350</v>
      </c>
      <c r="D81" s="161"/>
      <c r="E81" s="161"/>
      <c r="F81" s="162">
        <f t="shared" si="2"/>
        <v>-163.01000000000002</v>
      </c>
      <c r="G81" s="161"/>
      <c r="H81" s="161"/>
      <c r="I81" s="163">
        <f>I59+I62+I63+I66+I68+I69+I71+I67+I61+I75</f>
        <v>-90.71000000000001</v>
      </c>
      <c r="J81" s="163">
        <f>J62+J63+J66+J68+J69+J71+J67+J61+J75</f>
        <v>-72.30000000000001</v>
      </c>
      <c r="K81" s="164"/>
      <c r="L81" s="190"/>
    </row>
    <row r="82" spans="1:12" s="171" customFormat="1" ht="18.75">
      <c r="A82" s="158">
        <v>48</v>
      </c>
      <c r="B82" s="159" t="s">
        <v>556</v>
      </c>
      <c r="C82" s="142">
        <v>360</v>
      </c>
      <c r="D82" s="161"/>
      <c r="E82" s="161"/>
      <c r="F82" s="168">
        <f t="shared" si="2"/>
        <v>-11849.89</v>
      </c>
      <c r="G82" s="161"/>
      <c r="H82" s="161"/>
      <c r="I82" s="163">
        <f>SUM(I77:I81)</f>
        <v>-6815.9800000000005</v>
      </c>
      <c r="J82" s="163">
        <f>SUM(J77:J81)</f>
        <v>-5033.91</v>
      </c>
      <c r="K82" s="164"/>
      <c r="L82" s="190"/>
    </row>
    <row r="83" spans="1:12" s="171" customFormat="1" ht="18.75">
      <c r="A83" s="158">
        <v>49</v>
      </c>
      <c r="B83" s="177" t="s">
        <v>557</v>
      </c>
      <c r="C83" s="178"/>
      <c r="D83" s="178"/>
      <c r="E83" s="178"/>
      <c r="F83" s="178"/>
      <c r="G83" s="178"/>
      <c r="H83" s="178"/>
      <c r="I83" s="178"/>
      <c r="J83" s="179"/>
      <c r="K83" s="164"/>
      <c r="L83" s="190"/>
    </row>
    <row r="84" spans="1:12" s="171" customFormat="1" ht="18.75">
      <c r="A84" s="158">
        <v>50</v>
      </c>
      <c r="B84" s="159" t="s">
        <v>558</v>
      </c>
      <c r="C84" s="142">
        <v>370</v>
      </c>
      <c r="D84" s="169"/>
      <c r="E84" s="169"/>
      <c r="F84" s="168">
        <f>SUM(G84:J84)</f>
        <v>0</v>
      </c>
      <c r="G84" s="169"/>
      <c r="H84" s="169"/>
      <c r="I84" s="170">
        <f>SUM(I85)</f>
        <v>0</v>
      </c>
      <c r="J84" s="170">
        <f>SUM(J85)</f>
        <v>0</v>
      </c>
      <c r="K84" s="164"/>
      <c r="L84" s="190"/>
    </row>
    <row r="85" spans="1:12" s="171" customFormat="1" ht="37.5">
      <c r="A85" s="158">
        <v>51</v>
      </c>
      <c r="B85" s="159" t="s">
        <v>559</v>
      </c>
      <c r="C85" s="176">
        <v>371</v>
      </c>
      <c r="D85" s="161"/>
      <c r="E85" s="161"/>
      <c r="F85" s="162">
        <f>SUM(G85:J85)</f>
        <v>0</v>
      </c>
      <c r="G85" s="161"/>
      <c r="H85" s="161"/>
      <c r="I85" s="163"/>
      <c r="J85" s="163"/>
      <c r="K85" s="164"/>
      <c r="L85" s="190"/>
    </row>
    <row r="86" spans="1:12" s="171" customFormat="1" ht="18.75">
      <c r="A86" s="158">
        <v>52</v>
      </c>
      <c r="B86" s="157" t="s">
        <v>560</v>
      </c>
      <c r="C86" s="180">
        <v>380</v>
      </c>
      <c r="D86" s="181">
        <f>SUM(D87:D92)</f>
        <v>0</v>
      </c>
      <c r="E86" s="181">
        <f>SUM(E87:E92)</f>
        <v>0</v>
      </c>
      <c r="F86" s="168">
        <f aca="true" t="shared" si="3" ref="F86:F92">SUM(G86:J86)</f>
        <v>-310.02</v>
      </c>
      <c r="G86" s="168">
        <f>SUM(G87:G92)</f>
        <v>0</v>
      </c>
      <c r="H86" s="168">
        <f>SUM(H87:H92)</f>
        <v>0</v>
      </c>
      <c r="I86" s="168">
        <f>SUM(I87:I92)</f>
        <v>-310.02</v>
      </c>
      <c r="J86" s="168">
        <f>SUM(J87:J92)</f>
        <v>0</v>
      </c>
      <c r="K86" s="164"/>
      <c r="L86" s="190"/>
    </row>
    <row r="87" spans="1:12" s="171" customFormat="1" ht="18.75">
      <c r="A87" s="158">
        <v>53</v>
      </c>
      <c r="B87" s="159" t="s">
        <v>561</v>
      </c>
      <c r="C87" s="182">
        <v>381</v>
      </c>
      <c r="D87" s="161"/>
      <c r="E87" s="161"/>
      <c r="F87" s="163">
        <f t="shared" si="3"/>
        <v>0</v>
      </c>
      <c r="G87" s="163"/>
      <c r="H87" s="163"/>
      <c r="I87" s="163"/>
      <c r="J87" s="163"/>
      <c r="K87" s="164"/>
      <c r="L87" s="190"/>
    </row>
    <row r="88" spans="1:12" s="171" customFormat="1" ht="18.75">
      <c r="A88" s="158">
        <v>54</v>
      </c>
      <c r="B88" s="159" t="s">
        <v>562</v>
      </c>
      <c r="C88" s="183">
        <v>382</v>
      </c>
      <c r="D88" s="161"/>
      <c r="E88" s="161"/>
      <c r="F88" s="163">
        <f t="shared" si="3"/>
        <v>-310.02</v>
      </c>
      <c r="G88" s="163"/>
      <c r="H88" s="163"/>
      <c r="I88" s="163">
        <v>-310.02</v>
      </c>
      <c r="J88" s="163">
        <v>0</v>
      </c>
      <c r="K88" s="164"/>
      <c r="L88" s="190"/>
    </row>
    <row r="89" spans="1:12" s="171" customFormat="1" ht="37.5">
      <c r="A89" s="158">
        <v>55</v>
      </c>
      <c r="B89" s="159" t="s">
        <v>563</v>
      </c>
      <c r="C89" s="182">
        <v>383</v>
      </c>
      <c r="D89" s="161"/>
      <c r="E89" s="161"/>
      <c r="F89" s="163">
        <f t="shared" si="3"/>
        <v>0</v>
      </c>
      <c r="G89" s="163"/>
      <c r="H89" s="163"/>
      <c r="I89" s="163"/>
      <c r="J89" s="163"/>
      <c r="K89" s="164"/>
      <c r="L89" s="190"/>
    </row>
    <row r="90" spans="1:12" s="171" customFormat="1" ht="18.75">
      <c r="A90" s="158">
        <v>56</v>
      </c>
      <c r="B90" s="159" t="s">
        <v>564</v>
      </c>
      <c r="C90" s="183">
        <v>384</v>
      </c>
      <c r="D90" s="161"/>
      <c r="E90" s="161"/>
      <c r="F90" s="163">
        <f t="shared" si="3"/>
        <v>0</v>
      </c>
      <c r="G90" s="163"/>
      <c r="H90" s="163"/>
      <c r="I90" s="163"/>
      <c r="J90" s="163"/>
      <c r="K90" s="164"/>
      <c r="L90" s="190"/>
    </row>
    <row r="91" spans="1:12" s="171" customFormat="1" ht="37.5">
      <c r="A91" s="158">
        <v>57</v>
      </c>
      <c r="B91" s="159" t="s">
        <v>565</v>
      </c>
      <c r="C91" s="183">
        <v>385</v>
      </c>
      <c r="D91" s="161"/>
      <c r="E91" s="161"/>
      <c r="F91" s="163">
        <f t="shared" si="3"/>
        <v>0</v>
      </c>
      <c r="G91" s="163"/>
      <c r="H91" s="163"/>
      <c r="I91" s="163"/>
      <c r="J91" s="163"/>
      <c r="K91" s="164"/>
      <c r="L91" s="190"/>
    </row>
    <row r="92" spans="1:12" s="171" customFormat="1" ht="18.75">
      <c r="A92" s="158">
        <v>58</v>
      </c>
      <c r="B92" s="159" t="s">
        <v>566</v>
      </c>
      <c r="C92" s="182">
        <v>386</v>
      </c>
      <c r="D92" s="161"/>
      <c r="E92" s="161"/>
      <c r="F92" s="163">
        <f t="shared" si="3"/>
        <v>0</v>
      </c>
      <c r="G92" s="163"/>
      <c r="H92" s="163"/>
      <c r="I92" s="163"/>
      <c r="J92" s="163"/>
      <c r="K92" s="164"/>
      <c r="L92" s="190"/>
    </row>
    <row r="93" spans="1:12" s="171" customFormat="1" ht="18.75">
      <c r="A93" s="158">
        <v>59</v>
      </c>
      <c r="B93" s="442" t="s">
        <v>567</v>
      </c>
      <c r="C93" s="439"/>
      <c r="D93" s="439"/>
      <c r="E93" s="439"/>
      <c r="F93" s="439"/>
      <c r="G93" s="439"/>
      <c r="H93" s="439"/>
      <c r="I93" s="439"/>
      <c r="J93" s="440"/>
      <c r="K93" s="164"/>
      <c r="L93" s="190"/>
    </row>
    <row r="94" spans="1:12" s="171" customFormat="1" ht="37.5">
      <c r="A94" s="158">
        <v>60</v>
      </c>
      <c r="B94" s="159" t="s">
        <v>568</v>
      </c>
      <c r="C94" s="184">
        <v>390</v>
      </c>
      <c r="D94" s="169">
        <f>SUM(D95:D98)</f>
        <v>0</v>
      </c>
      <c r="E94" s="169">
        <f>SUM(E95:E98)</f>
        <v>0</v>
      </c>
      <c r="F94" s="170">
        <f aca="true" t="shared" si="4" ref="F94:F103">SUM(G94:J94)</f>
        <v>0</v>
      </c>
      <c r="G94" s="170">
        <f>SUM(G95:G98)</f>
        <v>0</v>
      </c>
      <c r="H94" s="170">
        <f>SUM(H95:H98)</f>
        <v>0</v>
      </c>
      <c r="I94" s="170">
        <f>SUM(I95:I98)</f>
        <v>0</v>
      </c>
      <c r="J94" s="170">
        <f>SUM(J95:J98)</f>
        <v>0</v>
      </c>
      <c r="K94" s="164"/>
      <c r="L94" s="190"/>
    </row>
    <row r="95" spans="1:12" s="171" customFormat="1" ht="18.75">
      <c r="A95" s="158">
        <v>61</v>
      </c>
      <c r="B95" s="165" t="s">
        <v>569</v>
      </c>
      <c r="C95" s="185">
        <v>391</v>
      </c>
      <c r="D95" s="161"/>
      <c r="E95" s="161"/>
      <c r="F95" s="163">
        <f t="shared" si="4"/>
        <v>0</v>
      </c>
      <c r="G95" s="163"/>
      <c r="H95" s="163"/>
      <c r="I95" s="163"/>
      <c r="J95" s="163"/>
      <c r="K95" s="164"/>
      <c r="L95" s="190"/>
    </row>
    <row r="96" spans="1:12" s="171" customFormat="1" ht="18.75">
      <c r="A96" s="158">
        <v>62</v>
      </c>
      <c r="B96" s="165" t="s">
        <v>570</v>
      </c>
      <c r="C96" s="185">
        <v>392</v>
      </c>
      <c r="D96" s="161"/>
      <c r="E96" s="161"/>
      <c r="F96" s="163">
        <f t="shared" si="4"/>
        <v>0</v>
      </c>
      <c r="G96" s="163"/>
      <c r="H96" s="163"/>
      <c r="I96" s="163"/>
      <c r="J96" s="163"/>
      <c r="K96" s="164"/>
      <c r="L96" s="190"/>
    </row>
    <row r="97" spans="1:12" s="171" customFormat="1" ht="18.75">
      <c r="A97" s="158">
        <v>63</v>
      </c>
      <c r="B97" s="165" t="s">
        <v>571</v>
      </c>
      <c r="C97" s="185">
        <v>393</v>
      </c>
      <c r="D97" s="161"/>
      <c r="E97" s="161"/>
      <c r="F97" s="163">
        <f t="shared" si="4"/>
        <v>0</v>
      </c>
      <c r="G97" s="163"/>
      <c r="H97" s="163"/>
      <c r="I97" s="163"/>
      <c r="J97" s="163"/>
      <c r="K97" s="164"/>
      <c r="L97" s="190"/>
    </row>
    <row r="98" spans="1:12" s="171" customFormat="1" ht="18.75">
      <c r="A98" s="158">
        <v>64</v>
      </c>
      <c r="B98" s="159" t="s">
        <v>572</v>
      </c>
      <c r="C98" s="184">
        <v>400</v>
      </c>
      <c r="D98" s="161"/>
      <c r="E98" s="161"/>
      <c r="F98" s="163">
        <f t="shared" si="4"/>
        <v>0</v>
      </c>
      <c r="G98" s="163"/>
      <c r="H98" s="163"/>
      <c r="I98" s="163"/>
      <c r="J98" s="163"/>
      <c r="K98" s="164"/>
      <c r="L98" s="190"/>
    </row>
    <row r="99" spans="1:12" s="171" customFormat="1" ht="37.5">
      <c r="A99" s="158">
        <v>65</v>
      </c>
      <c r="B99" s="159" t="s">
        <v>573</v>
      </c>
      <c r="C99" s="184">
        <v>410</v>
      </c>
      <c r="D99" s="169">
        <f>SUM(D100:D103)</f>
        <v>0</v>
      </c>
      <c r="E99" s="169">
        <f>SUM(E100:E103)</f>
        <v>0</v>
      </c>
      <c r="F99" s="170">
        <f t="shared" si="4"/>
        <v>0</v>
      </c>
      <c r="G99" s="170">
        <f>SUM(G100:G103)</f>
        <v>0</v>
      </c>
      <c r="H99" s="170">
        <f>SUM(H100:H103)</f>
        <v>0</v>
      </c>
      <c r="I99" s="170">
        <f>SUM(I100:I103)</f>
        <v>0</v>
      </c>
      <c r="J99" s="170">
        <f>SUM(J100:J103)</f>
        <v>0</v>
      </c>
      <c r="K99" s="164"/>
      <c r="L99" s="190"/>
    </row>
    <row r="100" spans="1:12" s="171" customFormat="1" ht="18.75">
      <c r="A100" s="158">
        <v>66</v>
      </c>
      <c r="B100" s="165" t="s">
        <v>569</v>
      </c>
      <c r="C100" s="185">
        <v>411</v>
      </c>
      <c r="D100" s="161"/>
      <c r="E100" s="161"/>
      <c r="F100" s="163">
        <f t="shared" si="4"/>
        <v>0</v>
      </c>
      <c r="G100" s="163"/>
      <c r="H100" s="163"/>
      <c r="I100" s="163"/>
      <c r="J100" s="163"/>
      <c r="K100" s="164"/>
      <c r="L100" s="190"/>
    </row>
    <row r="101" spans="1:12" s="171" customFormat="1" ht="18.75">
      <c r="A101" s="158">
        <v>67</v>
      </c>
      <c r="B101" s="165" t="s">
        <v>570</v>
      </c>
      <c r="C101" s="185">
        <v>412</v>
      </c>
      <c r="D101" s="161"/>
      <c r="E101" s="161"/>
      <c r="F101" s="163">
        <f t="shared" si="4"/>
        <v>0</v>
      </c>
      <c r="G101" s="163"/>
      <c r="H101" s="163"/>
      <c r="I101" s="163"/>
      <c r="J101" s="163"/>
      <c r="K101" s="164"/>
      <c r="L101" s="190"/>
    </row>
    <row r="102" spans="1:12" s="171" customFormat="1" ht="18.75">
      <c r="A102" s="158">
        <v>68</v>
      </c>
      <c r="B102" s="165" t="s">
        <v>571</v>
      </c>
      <c r="C102" s="185">
        <v>413</v>
      </c>
      <c r="D102" s="161"/>
      <c r="E102" s="161"/>
      <c r="F102" s="163">
        <f t="shared" si="4"/>
        <v>0</v>
      </c>
      <c r="G102" s="163"/>
      <c r="H102" s="163"/>
      <c r="I102" s="163"/>
      <c r="J102" s="163"/>
      <c r="K102" s="164"/>
      <c r="L102" s="190"/>
    </row>
    <row r="103" spans="1:12" s="171" customFormat="1" ht="18.75">
      <c r="A103" s="158">
        <v>69</v>
      </c>
      <c r="B103" s="159" t="s">
        <v>536</v>
      </c>
      <c r="C103" s="184">
        <v>420</v>
      </c>
      <c r="D103" s="161"/>
      <c r="E103" s="161"/>
      <c r="F103" s="163">
        <f t="shared" si="4"/>
        <v>0</v>
      </c>
      <c r="G103" s="163"/>
      <c r="H103" s="163"/>
      <c r="I103" s="163"/>
      <c r="J103" s="163"/>
      <c r="K103" s="164"/>
      <c r="L103" s="190"/>
    </row>
    <row r="104" spans="1:12" ht="18.75">
      <c r="A104" s="158">
        <v>70</v>
      </c>
      <c r="B104" s="157" t="s">
        <v>574</v>
      </c>
      <c r="C104" s="186">
        <v>500</v>
      </c>
      <c r="D104" s="187">
        <f>SUM(D35+D36+D37+D72+D84+D94)</f>
        <v>0</v>
      </c>
      <c r="E104" s="187">
        <f>SUM(E35+E36+E37+E72+E84+E94)</f>
        <v>0</v>
      </c>
      <c r="F104" s="188">
        <f>SUM(G104:J104)</f>
        <v>12159.91</v>
      </c>
      <c r="G104" s="188">
        <f>G35+G36+G37+G72+G84+G94</f>
        <v>0</v>
      </c>
      <c r="H104" s="188">
        <f>H35+H36+H37+H72+H84+H94</f>
        <v>0</v>
      </c>
      <c r="I104" s="188">
        <f>I35+I36+I37</f>
        <v>7126</v>
      </c>
      <c r="J104" s="188">
        <f>J35+J36+J37</f>
        <v>5033.91</v>
      </c>
      <c r="K104" s="164"/>
      <c r="L104" s="190"/>
    </row>
    <row r="105" spans="1:12" ht="18.75">
      <c r="A105" s="158">
        <v>71</v>
      </c>
      <c r="B105" s="157" t="s">
        <v>575</v>
      </c>
      <c r="C105" s="186">
        <v>600</v>
      </c>
      <c r="D105" s="187">
        <f>D42+D45+D46+D52+D53+D56+D58+D59+D60+D86+D99</f>
        <v>0</v>
      </c>
      <c r="E105" s="187">
        <f>E42+E45+E46+E52+E53+E56+E58+E59+E60+E86+E99</f>
        <v>0</v>
      </c>
      <c r="F105" s="188">
        <f>SUM(G105:J105)</f>
        <v>-12159.91</v>
      </c>
      <c r="G105" s="187">
        <f>G42+G45+G46+G52+G53+G56+G58+G59+G60+G86+G99</f>
        <v>0</v>
      </c>
      <c r="H105" s="187">
        <f>H42+H45+H46+H52+H53+H56+H58+H59+H60+H86+H99</f>
        <v>0</v>
      </c>
      <c r="I105" s="188">
        <f>I82+I86</f>
        <v>-7126</v>
      </c>
      <c r="J105" s="188">
        <f>J82+J86</f>
        <v>-5033.91</v>
      </c>
      <c r="K105" s="164"/>
      <c r="L105" s="190"/>
    </row>
    <row r="106" spans="1:12" ht="18.75">
      <c r="A106" s="158">
        <v>72</v>
      </c>
      <c r="B106" s="159" t="s">
        <v>576</v>
      </c>
      <c r="C106" s="160">
        <v>650</v>
      </c>
      <c r="D106" s="161"/>
      <c r="E106" s="161"/>
      <c r="F106" s="162">
        <f>SUM(G106:J106)</f>
        <v>0</v>
      </c>
      <c r="G106" s="163"/>
      <c r="H106" s="163"/>
      <c r="I106" s="163">
        <f>I104+I105</f>
        <v>0</v>
      </c>
      <c r="J106" s="163">
        <f>J104+J105</f>
        <v>0</v>
      </c>
      <c r="K106" s="164"/>
      <c r="L106" s="190"/>
    </row>
    <row r="107" spans="1:12" ht="37.5">
      <c r="A107" s="158">
        <v>73</v>
      </c>
      <c r="B107" s="442" t="s">
        <v>577</v>
      </c>
      <c r="C107" s="439"/>
      <c r="D107" s="178"/>
      <c r="E107" s="178"/>
      <c r="F107" s="189" t="s">
        <v>578</v>
      </c>
      <c r="G107" s="189" t="s">
        <v>579</v>
      </c>
      <c r="H107" s="189" t="s">
        <v>580</v>
      </c>
      <c r="I107" s="189" t="s">
        <v>581</v>
      </c>
      <c r="J107" s="189" t="s">
        <v>582</v>
      </c>
      <c r="K107" s="190"/>
      <c r="L107" s="190"/>
    </row>
    <row r="108" spans="1:12" ht="18.75">
      <c r="A108" s="158">
        <v>74</v>
      </c>
      <c r="B108" s="159" t="s">
        <v>583</v>
      </c>
      <c r="C108" s="160">
        <v>700</v>
      </c>
      <c r="D108" s="161"/>
      <c r="E108" s="161"/>
      <c r="F108" s="161"/>
      <c r="G108" s="161"/>
      <c r="H108" s="163">
        <v>207</v>
      </c>
      <c r="I108" s="163">
        <v>207</v>
      </c>
      <c r="J108" s="163">
        <v>207</v>
      </c>
      <c r="K108" s="190"/>
      <c r="L108" s="190"/>
    </row>
    <row r="109" spans="1:12" ht="18.75">
      <c r="A109" s="158">
        <v>75</v>
      </c>
      <c r="B109" s="159" t="s">
        <v>584</v>
      </c>
      <c r="C109" s="160">
        <v>710</v>
      </c>
      <c r="D109" s="161"/>
      <c r="E109" s="161"/>
      <c r="F109" s="161"/>
      <c r="G109" s="161"/>
      <c r="H109" s="161">
        <v>5451.57</v>
      </c>
      <c r="I109" s="161">
        <v>5451.57</v>
      </c>
      <c r="J109" s="161">
        <f>I109</f>
        <v>5451.57</v>
      </c>
      <c r="K109" s="190"/>
      <c r="L109" s="190"/>
    </row>
    <row r="110" spans="1:12" ht="18.75">
      <c r="A110" s="158">
        <v>76</v>
      </c>
      <c r="B110" s="159" t="s">
        <v>585</v>
      </c>
      <c r="C110" s="160">
        <v>720</v>
      </c>
      <c r="D110" s="161"/>
      <c r="E110" s="161"/>
      <c r="F110" s="161"/>
      <c r="G110" s="161"/>
      <c r="H110" s="161"/>
      <c r="I110" s="161">
        <v>0</v>
      </c>
      <c r="J110" s="161">
        <v>0</v>
      </c>
      <c r="K110" s="190"/>
      <c r="L110" s="190"/>
    </row>
    <row r="111" spans="1:12" ht="18.75">
      <c r="A111" s="158">
        <v>77</v>
      </c>
      <c r="B111" s="159" t="s">
        <v>586</v>
      </c>
      <c r="C111" s="160">
        <v>730</v>
      </c>
      <c r="D111" s="161"/>
      <c r="E111" s="161"/>
      <c r="F111" s="161"/>
      <c r="G111" s="161"/>
      <c r="H111" s="161"/>
      <c r="I111" s="161">
        <v>0</v>
      </c>
      <c r="J111" s="161">
        <v>0</v>
      </c>
      <c r="K111" s="190"/>
      <c r="L111" s="190"/>
    </row>
    <row r="112" spans="2:12" ht="18.75">
      <c r="B112" s="143"/>
      <c r="C112" s="191"/>
      <c r="D112" s="192"/>
      <c r="E112" s="192"/>
      <c r="F112" s="192"/>
      <c r="G112" s="192"/>
      <c r="H112" s="192"/>
      <c r="I112" s="192"/>
      <c r="J112" s="192"/>
      <c r="K112" s="190"/>
      <c r="L112" s="190"/>
    </row>
    <row r="113" spans="2:10" ht="18.75">
      <c r="B113" s="143"/>
      <c r="D113" s="193"/>
      <c r="E113" s="194"/>
      <c r="F113" s="194"/>
      <c r="G113" s="194"/>
      <c r="H113" s="194"/>
      <c r="I113" s="194"/>
      <c r="J113" s="194"/>
    </row>
    <row r="114" spans="2:10" ht="18.75">
      <c r="B114" s="195" t="s">
        <v>671</v>
      </c>
      <c r="C114" s="191"/>
      <c r="D114" s="433" t="s">
        <v>588</v>
      </c>
      <c r="E114" s="433"/>
      <c r="F114" s="433"/>
      <c r="G114" s="196"/>
      <c r="H114" s="434" t="s">
        <v>589</v>
      </c>
      <c r="I114" s="434"/>
      <c r="J114" s="434"/>
    </row>
    <row r="115" spans="2:10" s="200" customFormat="1" ht="12.75">
      <c r="B115" s="197" t="s">
        <v>590</v>
      </c>
      <c r="C115" s="198"/>
      <c r="D115" s="435" t="s">
        <v>591</v>
      </c>
      <c r="E115" s="435"/>
      <c r="F115" s="435"/>
      <c r="G115" s="199"/>
      <c r="H115" s="436" t="s">
        <v>592</v>
      </c>
      <c r="I115" s="436"/>
      <c r="J115" s="436"/>
    </row>
    <row r="116" spans="2:10" ht="18.75">
      <c r="B116" s="143"/>
      <c r="D116" s="193"/>
      <c r="E116" s="194"/>
      <c r="F116" s="194"/>
      <c r="G116" s="194"/>
      <c r="H116" s="194"/>
      <c r="I116" s="194"/>
      <c r="J116" s="194"/>
    </row>
    <row r="117" spans="2:10" ht="18.75">
      <c r="B117" s="143"/>
      <c r="D117" s="193"/>
      <c r="E117" s="194"/>
      <c r="F117" s="194"/>
      <c r="G117" s="194"/>
      <c r="H117" s="194"/>
      <c r="I117" s="194"/>
      <c r="J117" s="194"/>
    </row>
    <row r="118" spans="2:10" ht="18.75">
      <c r="B118" s="143"/>
      <c r="D118" s="193"/>
      <c r="E118" s="194"/>
      <c r="F118" s="194"/>
      <c r="G118" s="194"/>
      <c r="H118" s="194"/>
      <c r="I118" s="194"/>
      <c r="J118" s="194"/>
    </row>
    <row r="119" spans="2:10" ht="18.75">
      <c r="B119" s="143"/>
      <c r="D119" s="193"/>
      <c r="E119" s="194"/>
      <c r="F119" s="194"/>
      <c r="G119" s="194"/>
      <c r="H119" s="194"/>
      <c r="I119" s="194"/>
      <c r="J119" s="194"/>
    </row>
    <row r="120" spans="2:10" ht="18.75">
      <c r="B120" s="143"/>
      <c r="D120" s="193"/>
      <c r="E120" s="194"/>
      <c r="F120" s="194"/>
      <c r="G120" s="194"/>
      <c r="H120" s="194"/>
      <c r="I120" s="194"/>
      <c r="J120" s="194"/>
    </row>
    <row r="121" spans="2:10" ht="18.75">
      <c r="B121" s="143"/>
      <c r="D121" s="193"/>
      <c r="E121" s="194"/>
      <c r="F121" s="194"/>
      <c r="G121" s="194"/>
      <c r="H121" s="194"/>
      <c r="I121" s="194"/>
      <c r="J121" s="194"/>
    </row>
    <row r="122" spans="2:10" ht="18.75">
      <c r="B122" s="143"/>
      <c r="D122" s="193"/>
      <c r="E122" s="194"/>
      <c r="F122" s="194"/>
      <c r="G122" s="194"/>
      <c r="H122" s="194"/>
      <c r="I122" s="194"/>
      <c r="J122" s="194"/>
    </row>
    <row r="123" spans="2:10" ht="18.75">
      <c r="B123" s="143"/>
      <c r="D123" s="193"/>
      <c r="E123" s="194"/>
      <c r="F123" s="194"/>
      <c r="G123" s="194"/>
      <c r="H123" s="194"/>
      <c r="I123" s="194"/>
      <c r="J123" s="194"/>
    </row>
    <row r="124" spans="2:10" ht="18.75">
      <c r="B124" s="143"/>
      <c r="D124" s="193"/>
      <c r="E124" s="194"/>
      <c r="F124" s="194"/>
      <c r="G124" s="194"/>
      <c r="H124" s="194"/>
      <c r="I124" s="194"/>
      <c r="J124" s="194"/>
    </row>
    <row r="125" spans="2:10" ht="18.75">
      <c r="B125" s="143"/>
      <c r="D125" s="193"/>
      <c r="E125" s="194"/>
      <c r="F125" s="194"/>
      <c r="G125" s="194"/>
      <c r="H125" s="194"/>
      <c r="I125" s="194"/>
      <c r="J125" s="194"/>
    </row>
    <row r="126" spans="2:10" ht="18.75">
      <c r="B126" s="143"/>
      <c r="D126" s="193"/>
      <c r="E126" s="194"/>
      <c r="F126" s="194"/>
      <c r="G126" s="194"/>
      <c r="H126" s="194"/>
      <c r="I126" s="194"/>
      <c r="J126" s="194"/>
    </row>
    <row r="127" spans="2:10" ht="18.75">
      <c r="B127" s="143"/>
      <c r="D127" s="193"/>
      <c r="E127" s="194"/>
      <c r="F127" s="194"/>
      <c r="G127" s="194"/>
      <c r="H127" s="194"/>
      <c r="I127" s="194"/>
      <c r="J127" s="194"/>
    </row>
    <row r="128" spans="2:10" ht="18.75">
      <c r="B128" s="143"/>
      <c r="D128" s="193"/>
      <c r="E128" s="194"/>
      <c r="F128" s="194"/>
      <c r="G128" s="194"/>
      <c r="H128" s="194"/>
      <c r="I128" s="194"/>
      <c r="J128" s="194"/>
    </row>
    <row r="129" spans="2:10" ht="18.75">
      <c r="B129" s="143"/>
      <c r="D129" s="193"/>
      <c r="E129" s="194"/>
      <c r="F129" s="194"/>
      <c r="G129" s="194"/>
      <c r="H129" s="194"/>
      <c r="I129" s="194"/>
      <c r="J129" s="194"/>
    </row>
    <row r="130" spans="2:10" ht="18.75">
      <c r="B130" s="143"/>
      <c r="D130" s="193"/>
      <c r="E130" s="194"/>
      <c r="F130" s="194"/>
      <c r="G130" s="194"/>
      <c r="H130" s="194"/>
      <c r="I130" s="194"/>
      <c r="J130" s="194"/>
    </row>
    <row r="131" spans="2:10" ht="18.75">
      <c r="B131" s="143"/>
      <c r="D131" s="193"/>
      <c r="E131" s="194"/>
      <c r="F131" s="194"/>
      <c r="G131" s="194"/>
      <c r="H131" s="194"/>
      <c r="I131" s="194"/>
      <c r="J131" s="194"/>
    </row>
    <row r="132" spans="2:10" ht="18.75">
      <c r="B132" s="143"/>
      <c r="D132" s="193"/>
      <c r="E132" s="194"/>
      <c r="F132" s="194"/>
      <c r="G132" s="194"/>
      <c r="H132" s="194"/>
      <c r="I132" s="194"/>
      <c r="J132" s="194"/>
    </row>
    <row r="133" spans="2:10" ht="18.75">
      <c r="B133" s="143"/>
      <c r="D133" s="193"/>
      <c r="E133" s="194"/>
      <c r="F133" s="194"/>
      <c r="G133" s="194"/>
      <c r="H133" s="194"/>
      <c r="I133" s="194"/>
      <c r="J133" s="194"/>
    </row>
    <row r="134" spans="2:10" ht="18.75">
      <c r="B134" s="143"/>
      <c r="D134" s="193"/>
      <c r="E134" s="194"/>
      <c r="F134" s="194"/>
      <c r="G134" s="194"/>
      <c r="H134" s="194"/>
      <c r="I134" s="194"/>
      <c r="J134" s="194"/>
    </row>
    <row r="135" spans="2:10" ht="18.75">
      <c r="B135" s="143"/>
      <c r="D135" s="193"/>
      <c r="E135" s="194"/>
      <c r="F135" s="194"/>
      <c r="G135" s="194"/>
      <c r="H135" s="194"/>
      <c r="I135" s="194"/>
      <c r="J135" s="194"/>
    </row>
    <row r="136" spans="2:10" ht="18.75">
      <c r="B136" s="143"/>
      <c r="D136" s="193"/>
      <c r="E136" s="194"/>
      <c r="F136" s="194"/>
      <c r="G136" s="194"/>
      <c r="H136" s="194"/>
      <c r="I136" s="194"/>
      <c r="J136" s="194"/>
    </row>
    <row r="137" spans="2:10" ht="18.75">
      <c r="B137" s="143"/>
      <c r="D137" s="193"/>
      <c r="E137" s="194"/>
      <c r="F137" s="194"/>
      <c r="G137" s="194"/>
      <c r="H137" s="194"/>
      <c r="I137" s="194"/>
      <c r="J137" s="194"/>
    </row>
    <row r="138" spans="2:10" ht="18.75">
      <c r="B138" s="143"/>
      <c r="D138" s="193"/>
      <c r="E138" s="194"/>
      <c r="F138" s="194"/>
      <c r="G138" s="194"/>
      <c r="H138" s="194"/>
      <c r="I138" s="194"/>
      <c r="J138" s="194"/>
    </row>
    <row r="139" spans="2:10" ht="18.75">
      <c r="B139" s="143"/>
      <c r="D139" s="193"/>
      <c r="E139" s="194"/>
      <c r="F139" s="194"/>
      <c r="G139" s="194"/>
      <c r="H139" s="194"/>
      <c r="I139" s="194"/>
      <c r="J139" s="194"/>
    </row>
    <row r="140" spans="2:10" ht="18.75">
      <c r="B140" s="143"/>
      <c r="D140" s="193"/>
      <c r="E140" s="194"/>
      <c r="F140" s="194"/>
      <c r="G140" s="194"/>
      <c r="H140" s="194"/>
      <c r="I140" s="194"/>
      <c r="J140" s="194"/>
    </row>
    <row r="141" spans="2:10" ht="18.75">
      <c r="B141" s="143"/>
      <c r="D141" s="193"/>
      <c r="E141" s="194"/>
      <c r="F141" s="194"/>
      <c r="G141" s="194"/>
      <c r="H141" s="194"/>
      <c r="I141" s="194"/>
      <c r="J141" s="194"/>
    </row>
    <row r="142" spans="2:10" ht="18.75">
      <c r="B142" s="143"/>
      <c r="D142" s="193"/>
      <c r="E142" s="194"/>
      <c r="F142" s="194"/>
      <c r="G142" s="194"/>
      <c r="H142" s="194"/>
      <c r="I142" s="194"/>
      <c r="J142" s="194"/>
    </row>
    <row r="143" spans="2:10" ht="18.75">
      <c r="B143" s="143"/>
      <c r="D143" s="193"/>
      <c r="E143" s="194"/>
      <c r="F143" s="194"/>
      <c r="G143" s="194"/>
      <c r="H143" s="194"/>
      <c r="I143" s="194"/>
      <c r="J143" s="194"/>
    </row>
    <row r="144" spans="2:10" ht="18.75">
      <c r="B144" s="143"/>
      <c r="D144" s="193"/>
      <c r="E144" s="194"/>
      <c r="F144" s="194"/>
      <c r="G144" s="194"/>
      <c r="H144" s="194"/>
      <c r="I144" s="194"/>
      <c r="J144" s="194"/>
    </row>
    <row r="145" spans="2:10" ht="18.75">
      <c r="B145" s="143"/>
      <c r="D145" s="193"/>
      <c r="E145" s="194"/>
      <c r="F145" s="194"/>
      <c r="G145" s="194"/>
      <c r="H145" s="194"/>
      <c r="I145" s="194"/>
      <c r="J145" s="194"/>
    </row>
    <row r="146" spans="2:10" ht="18.75">
      <c r="B146" s="143"/>
      <c r="D146" s="193"/>
      <c r="E146" s="194"/>
      <c r="F146" s="194"/>
      <c r="G146" s="194"/>
      <c r="H146" s="194"/>
      <c r="I146" s="194"/>
      <c r="J146" s="194"/>
    </row>
    <row r="147" spans="2:10" ht="18.75">
      <c r="B147" s="143"/>
      <c r="D147" s="193"/>
      <c r="E147" s="194"/>
      <c r="F147" s="194"/>
      <c r="G147" s="194"/>
      <c r="H147" s="194"/>
      <c r="I147" s="194"/>
      <c r="J147" s="194"/>
    </row>
    <row r="148" spans="2:10" ht="18.75">
      <c r="B148" s="143"/>
      <c r="D148" s="193"/>
      <c r="E148" s="194"/>
      <c r="F148" s="194"/>
      <c r="G148" s="194"/>
      <c r="H148" s="194"/>
      <c r="I148" s="194"/>
      <c r="J148" s="194"/>
    </row>
    <row r="149" spans="2:10" ht="18.75">
      <c r="B149" s="143"/>
      <c r="D149" s="193"/>
      <c r="E149" s="194"/>
      <c r="F149" s="194"/>
      <c r="G149" s="194"/>
      <c r="H149" s="194"/>
      <c r="I149" s="194"/>
      <c r="J149" s="194"/>
    </row>
    <row r="150" spans="2:10" ht="18.75">
      <c r="B150" s="143"/>
      <c r="D150" s="193"/>
      <c r="E150" s="194"/>
      <c r="F150" s="194"/>
      <c r="G150" s="194"/>
      <c r="H150" s="194"/>
      <c r="I150" s="194"/>
      <c r="J150" s="194"/>
    </row>
    <row r="151" spans="2:10" ht="18.75">
      <c r="B151" s="143"/>
      <c r="D151" s="193"/>
      <c r="E151" s="194"/>
      <c r="F151" s="194"/>
      <c r="G151" s="194"/>
      <c r="H151" s="194"/>
      <c r="I151" s="194"/>
      <c r="J151" s="194"/>
    </row>
    <row r="152" spans="2:10" ht="18.75">
      <c r="B152" s="143"/>
      <c r="D152" s="193"/>
      <c r="E152" s="194"/>
      <c r="F152" s="194"/>
      <c r="G152" s="194"/>
      <c r="H152" s="194"/>
      <c r="I152" s="194"/>
      <c r="J152" s="194"/>
    </row>
    <row r="153" spans="2:10" ht="18.75">
      <c r="B153" s="143"/>
      <c r="D153" s="193"/>
      <c r="E153" s="194"/>
      <c r="F153" s="194"/>
      <c r="G153" s="194"/>
      <c r="H153" s="194"/>
      <c r="I153" s="194"/>
      <c r="J153" s="194"/>
    </row>
    <row r="154" spans="2:10" ht="18.75">
      <c r="B154" s="143"/>
      <c r="D154" s="193"/>
      <c r="E154" s="194"/>
      <c r="F154" s="194"/>
      <c r="G154" s="194"/>
      <c r="H154" s="194"/>
      <c r="I154" s="194"/>
      <c r="J154" s="194"/>
    </row>
    <row r="155" spans="2:10" ht="18.75">
      <c r="B155" s="143"/>
      <c r="D155" s="193"/>
      <c r="E155" s="194"/>
      <c r="F155" s="194"/>
      <c r="G155" s="194"/>
      <c r="H155" s="194"/>
      <c r="I155" s="194"/>
      <c r="J155" s="194"/>
    </row>
    <row r="156" spans="2:10" ht="18.75">
      <c r="B156" s="143"/>
      <c r="D156" s="193"/>
      <c r="E156" s="194"/>
      <c r="F156" s="194"/>
      <c r="G156" s="194"/>
      <c r="H156" s="194"/>
      <c r="I156" s="194"/>
      <c r="J156" s="194"/>
    </row>
    <row r="157" ht="18.75">
      <c r="B157" s="201"/>
    </row>
    <row r="158" ht="18.75">
      <c r="B158" s="201"/>
    </row>
    <row r="159" ht="18.75">
      <c r="B159" s="201"/>
    </row>
    <row r="160" ht="18.75">
      <c r="B160" s="201"/>
    </row>
    <row r="161" s="140" customFormat="1" ht="18.75">
      <c r="B161" s="201"/>
    </row>
    <row r="162" s="140" customFormat="1" ht="18.75">
      <c r="B162" s="201"/>
    </row>
    <row r="163" s="140" customFormat="1" ht="18.75">
      <c r="B163" s="201"/>
    </row>
    <row r="164" s="140" customFormat="1" ht="18.75">
      <c r="B164" s="201"/>
    </row>
    <row r="165" s="140" customFormat="1" ht="18.75">
      <c r="B165" s="201"/>
    </row>
    <row r="166" s="140" customFormat="1" ht="18.75">
      <c r="B166" s="201"/>
    </row>
    <row r="167" s="140" customFormat="1" ht="18.75">
      <c r="B167" s="201"/>
    </row>
    <row r="168" s="140" customFormat="1" ht="18.75">
      <c r="B168" s="201"/>
    </row>
    <row r="169" s="140" customFormat="1" ht="18.75">
      <c r="B169" s="201"/>
    </row>
    <row r="170" s="140" customFormat="1" ht="18.75">
      <c r="B170" s="201"/>
    </row>
    <row r="171" s="140" customFormat="1" ht="18.75">
      <c r="B171" s="201"/>
    </row>
    <row r="172" s="140" customFormat="1" ht="18.75">
      <c r="B172" s="201"/>
    </row>
    <row r="173" s="140" customFormat="1" ht="18.75">
      <c r="B173" s="201"/>
    </row>
    <row r="174" s="140" customFormat="1" ht="18.75">
      <c r="B174" s="201"/>
    </row>
    <row r="175" s="140" customFormat="1" ht="18.75">
      <c r="B175" s="201"/>
    </row>
    <row r="176" s="140" customFormat="1" ht="18.75">
      <c r="B176" s="201"/>
    </row>
    <row r="177" s="140" customFormat="1" ht="18.75">
      <c r="B177" s="201"/>
    </row>
    <row r="178" s="140" customFormat="1" ht="18.75">
      <c r="B178" s="201"/>
    </row>
    <row r="179" s="140" customFormat="1" ht="18.75">
      <c r="B179" s="201"/>
    </row>
    <row r="180" s="140" customFormat="1" ht="18.75">
      <c r="B180" s="201"/>
    </row>
    <row r="181" s="140" customFormat="1" ht="18.75">
      <c r="B181" s="201"/>
    </row>
    <row r="182" s="140" customFormat="1" ht="18.75">
      <c r="B182" s="201"/>
    </row>
    <row r="183" s="140" customFormat="1" ht="18.75">
      <c r="B183" s="201"/>
    </row>
    <row r="184" s="140" customFormat="1" ht="18.75">
      <c r="B184" s="201"/>
    </row>
    <row r="185" s="140" customFormat="1" ht="18.75">
      <c r="B185" s="201"/>
    </row>
    <row r="186" s="140" customFormat="1" ht="18.75">
      <c r="B186" s="201"/>
    </row>
    <row r="187" s="140" customFormat="1" ht="18.75">
      <c r="B187" s="201"/>
    </row>
    <row r="188" s="140" customFormat="1" ht="18.75">
      <c r="B188" s="201"/>
    </row>
    <row r="189" s="140" customFormat="1" ht="18.75">
      <c r="B189" s="201"/>
    </row>
    <row r="190" s="140" customFormat="1" ht="18.75">
      <c r="B190" s="201"/>
    </row>
    <row r="191" s="140" customFormat="1" ht="18.75">
      <c r="B191" s="201"/>
    </row>
    <row r="192" s="140" customFormat="1" ht="18.75">
      <c r="B192" s="201"/>
    </row>
    <row r="193" s="140" customFormat="1" ht="18.75">
      <c r="B193" s="201"/>
    </row>
    <row r="194" s="140" customFormat="1" ht="18.75">
      <c r="B194" s="201"/>
    </row>
    <row r="195" s="140" customFormat="1" ht="18.75">
      <c r="B195" s="201"/>
    </row>
    <row r="196" s="140" customFormat="1" ht="18.75">
      <c r="B196" s="201"/>
    </row>
    <row r="197" s="140" customFormat="1" ht="18.75">
      <c r="B197" s="201"/>
    </row>
    <row r="198" s="140" customFormat="1" ht="18.75">
      <c r="B198" s="201"/>
    </row>
    <row r="199" s="140" customFormat="1" ht="18.75">
      <c r="B199" s="201"/>
    </row>
    <row r="200" s="140" customFormat="1" ht="18.75">
      <c r="B200" s="201"/>
    </row>
    <row r="201" s="140" customFormat="1" ht="18.75">
      <c r="B201" s="201"/>
    </row>
    <row r="202" s="140" customFormat="1" ht="18.75">
      <c r="B202" s="201"/>
    </row>
    <row r="203" s="140" customFormat="1" ht="18.75">
      <c r="B203" s="201"/>
    </row>
    <row r="204" s="140" customFormat="1" ht="18.75">
      <c r="B204" s="201"/>
    </row>
    <row r="205" s="140" customFormat="1" ht="18.75">
      <c r="B205" s="201"/>
    </row>
    <row r="206" s="140" customFormat="1" ht="18.75">
      <c r="B206" s="201"/>
    </row>
    <row r="207" s="140" customFormat="1" ht="18.75">
      <c r="B207" s="201"/>
    </row>
    <row r="208" s="140" customFormat="1" ht="18.75">
      <c r="B208" s="201"/>
    </row>
    <row r="209" s="140" customFormat="1" ht="18.75">
      <c r="B209" s="201"/>
    </row>
    <row r="210" s="140" customFormat="1" ht="18.75">
      <c r="B210" s="201"/>
    </row>
    <row r="211" s="140" customFormat="1" ht="18.75">
      <c r="B211" s="201"/>
    </row>
    <row r="212" s="140" customFormat="1" ht="18.75">
      <c r="B212" s="201"/>
    </row>
    <row r="213" s="140" customFormat="1" ht="18.75">
      <c r="B213" s="201"/>
    </row>
    <row r="214" s="140" customFormat="1" ht="18.75">
      <c r="B214" s="201"/>
    </row>
    <row r="215" s="140" customFormat="1" ht="18.75">
      <c r="B215" s="201"/>
    </row>
    <row r="216" s="140" customFormat="1" ht="18.75">
      <c r="B216" s="201"/>
    </row>
    <row r="217" s="140" customFormat="1" ht="18.75">
      <c r="B217" s="201"/>
    </row>
    <row r="218" s="140" customFormat="1" ht="18.75">
      <c r="B218" s="201"/>
    </row>
    <row r="219" s="140" customFormat="1" ht="18.75">
      <c r="B219" s="201"/>
    </row>
    <row r="220" s="140" customFormat="1" ht="18.75">
      <c r="B220" s="201"/>
    </row>
    <row r="221" s="140" customFormat="1" ht="18.75">
      <c r="B221" s="201"/>
    </row>
    <row r="222" s="140" customFormat="1" ht="18.75">
      <c r="B222" s="201"/>
    </row>
    <row r="223" s="140" customFormat="1" ht="18.75">
      <c r="B223" s="201"/>
    </row>
    <row r="224" s="140" customFormat="1" ht="18.75">
      <c r="B224" s="201"/>
    </row>
    <row r="225" s="140" customFormat="1" ht="18.75">
      <c r="B225" s="201"/>
    </row>
    <row r="226" s="140" customFormat="1" ht="18.75">
      <c r="B226" s="201"/>
    </row>
    <row r="227" s="140" customFormat="1" ht="18.75">
      <c r="B227" s="201"/>
    </row>
    <row r="228" s="140" customFormat="1" ht="18.75">
      <c r="B228" s="201"/>
    </row>
    <row r="229" s="140" customFormat="1" ht="18.75">
      <c r="B229" s="201"/>
    </row>
    <row r="230" s="140" customFormat="1" ht="18.75">
      <c r="B230" s="201"/>
    </row>
    <row r="231" s="140" customFormat="1" ht="18.75">
      <c r="B231" s="201"/>
    </row>
    <row r="232" s="140" customFormat="1" ht="18.75">
      <c r="B232" s="201"/>
    </row>
    <row r="233" s="140" customFormat="1" ht="18.75">
      <c r="B233" s="201"/>
    </row>
    <row r="234" s="140" customFormat="1" ht="18.75">
      <c r="B234" s="201"/>
    </row>
    <row r="235" s="140" customFormat="1" ht="18.75">
      <c r="B235" s="201"/>
    </row>
    <row r="236" s="140" customFormat="1" ht="18.75">
      <c r="B236" s="201"/>
    </row>
    <row r="237" s="140" customFormat="1" ht="18.75">
      <c r="B237" s="201"/>
    </row>
    <row r="238" s="140" customFormat="1" ht="18.75">
      <c r="B238" s="201"/>
    </row>
    <row r="239" s="140" customFormat="1" ht="18.75">
      <c r="B239" s="201"/>
    </row>
    <row r="240" s="140" customFormat="1" ht="18.75">
      <c r="B240" s="201"/>
    </row>
    <row r="241" s="140" customFormat="1" ht="18.75">
      <c r="B241" s="201"/>
    </row>
    <row r="242" s="140" customFormat="1" ht="18.75">
      <c r="B242" s="201"/>
    </row>
    <row r="243" s="140" customFormat="1" ht="18.75">
      <c r="B243" s="201"/>
    </row>
    <row r="244" s="140" customFormat="1" ht="18.75">
      <c r="B244" s="201"/>
    </row>
    <row r="245" s="140" customFormat="1" ht="18.75">
      <c r="B245" s="201"/>
    </row>
    <row r="246" s="140" customFormat="1" ht="18.75">
      <c r="B246" s="201"/>
    </row>
    <row r="247" s="140" customFormat="1" ht="18.75">
      <c r="B247" s="201"/>
    </row>
    <row r="248" s="140" customFormat="1" ht="18.75">
      <c r="B248" s="201"/>
    </row>
    <row r="249" s="140" customFormat="1" ht="18.75">
      <c r="B249" s="201"/>
    </row>
    <row r="250" s="140" customFormat="1" ht="18.75">
      <c r="B250" s="201"/>
    </row>
    <row r="251" s="140" customFormat="1" ht="18.75">
      <c r="B251" s="201"/>
    </row>
    <row r="252" s="140" customFormat="1" ht="18.75">
      <c r="B252" s="201"/>
    </row>
    <row r="253" s="140" customFormat="1" ht="18.75">
      <c r="B253" s="201"/>
    </row>
    <row r="254" s="140" customFormat="1" ht="18.75">
      <c r="B254" s="201"/>
    </row>
    <row r="255" s="140" customFormat="1" ht="18.75">
      <c r="B255" s="201"/>
    </row>
    <row r="256" s="140" customFormat="1" ht="18.75">
      <c r="B256" s="201"/>
    </row>
    <row r="257" s="140" customFormat="1" ht="18.75">
      <c r="B257" s="201"/>
    </row>
    <row r="258" s="140" customFormat="1" ht="18.75">
      <c r="B258" s="201"/>
    </row>
    <row r="259" s="140" customFormat="1" ht="18.75">
      <c r="B259" s="201"/>
    </row>
    <row r="260" s="140" customFormat="1" ht="18.75">
      <c r="B260" s="201"/>
    </row>
    <row r="261" s="140" customFormat="1" ht="18.75">
      <c r="B261" s="201"/>
    </row>
    <row r="262" s="140" customFormat="1" ht="18.75">
      <c r="B262" s="201"/>
    </row>
    <row r="263" s="140" customFormat="1" ht="18.75">
      <c r="B263" s="201"/>
    </row>
    <row r="264" s="140" customFormat="1" ht="18.75">
      <c r="B264" s="201"/>
    </row>
    <row r="265" s="140" customFormat="1" ht="18.75">
      <c r="B265" s="201"/>
    </row>
    <row r="266" s="140" customFormat="1" ht="18.75">
      <c r="B266" s="201"/>
    </row>
    <row r="267" s="140" customFormat="1" ht="18.75">
      <c r="B267" s="201"/>
    </row>
    <row r="268" s="140" customFormat="1" ht="18.75">
      <c r="B268" s="201"/>
    </row>
    <row r="269" s="140" customFormat="1" ht="18.75">
      <c r="B269" s="201"/>
    </row>
    <row r="270" s="140" customFormat="1" ht="18.75">
      <c r="B270" s="201"/>
    </row>
    <row r="271" s="140" customFormat="1" ht="18.75">
      <c r="B271" s="201"/>
    </row>
    <row r="272" s="140" customFormat="1" ht="18.75">
      <c r="B272" s="201"/>
    </row>
    <row r="273" s="140" customFormat="1" ht="18.75">
      <c r="B273" s="201"/>
    </row>
    <row r="274" s="140" customFormat="1" ht="18.75">
      <c r="B274" s="201"/>
    </row>
    <row r="275" s="140" customFormat="1" ht="18.75">
      <c r="B275" s="201"/>
    </row>
    <row r="276" s="140" customFormat="1" ht="18.75">
      <c r="B276" s="201"/>
    </row>
    <row r="277" s="140" customFormat="1" ht="18.75">
      <c r="B277" s="201"/>
    </row>
    <row r="278" s="140" customFormat="1" ht="18.75">
      <c r="B278" s="201"/>
    </row>
    <row r="279" s="140" customFormat="1" ht="18.75">
      <c r="B279" s="201"/>
    </row>
    <row r="280" s="140" customFormat="1" ht="18.75">
      <c r="B280" s="201"/>
    </row>
    <row r="281" s="140" customFormat="1" ht="18.75">
      <c r="B281" s="201"/>
    </row>
    <row r="282" s="140" customFormat="1" ht="18.75">
      <c r="B282" s="201"/>
    </row>
    <row r="283" s="140" customFormat="1" ht="18.75">
      <c r="B283" s="201"/>
    </row>
    <row r="284" s="140" customFormat="1" ht="18.75">
      <c r="B284" s="201"/>
    </row>
    <row r="285" s="140" customFormat="1" ht="18.75">
      <c r="B285" s="201"/>
    </row>
    <row r="286" s="140" customFormat="1" ht="18.75">
      <c r="B286" s="201"/>
    </row>
    <row r="287" s="140" customFormat="1" ht="18.75">
      <c r="B287" s="201"/>
    </row>
    <row r="288" s="140" customFormat="1" ht="18.75">
      <c r="B288" s="201"/>
    </row>
    <row r="289" s="140" customFormat="1" ht="18.75">
      <c r="B289" s="201"/>
    </row>
    <row r="290" s="140" customFormat="1" ht="18.75">
      <c r="B290" s="201"/>
    </row>
    <row r="291" s="140" customFormat="1" ht="18.75">
      <c r="B291" s="201"/>
    </row>
    <row r="292" s="140" customFormat="1" ht="18.75">
      <c r="B292" s="201"/>
    </row>
    <row r="293" s="140" customFormat="1" ht="18.75">
      <c r="B293" s="201"/>
    </row>
    <row r="294" s="140" customFormat="1" ht="18.75">
      <c r="B294" s="201"/>
    </row>
    <row r="295" s="140" customFormat="1" ht="18.75">
      <c r="B295" s="201"/>
    </row>
    <row r="296" s="140" customFormat="1" ht="18.75">
      <c r="B296" s="201"/>
    </row>
    <row r="297" s="140" customFormat="1" ht="18.75">
      <c r="B297" s="201"/>
    </row>
    <row r="298" s="140" customFormat="1" ht="18.75">
      <c r="B298" s="201"/>
    </row>
    <row r="299" s="140" customFormat="1" ht="18.75">
      <c r="B299" s="201"/>
    </row>
    <row r="300" s="140" customFormat="1" ht="18.75">
      <c r="B300" s="201"/>
    </row>
    <row r="301" s="140" customFormat="1" ht="18.75">
      <c r="B301" s="201"/>
    </row>
    <row r="302" s="140" customFormat="1" ht="18.75">
      <c r="B302" s="201"/>
    </row>
    <row r="303" s="140" customFormat="1" ht="18.75">
      <c r="B303" s="201"/>
    </row>
    <row r="304" s="140" customFormat="1" ht="18.75">
      <c r="B304" s="201"/>
    </row>
    <row r="305" s="140" customFormat="1" ht="18.75">
      <c r="B305" s="201"/>
    </row>
    <row r="306" s="140" customFormat="1" ht="18.75">
      <c r="B306" s="201"/>
    </row>
    <row r="307" s="140" customFormat="1" ht="18.75">
      <c r="B307" s="201"/>
    </row>
    <row r="308" s="140" customFormat="1" ht="18.75">
      <c r="B308" s="201"/>
    </row>
    <row r="309" s="140" customFormat="1" ht="18.75">
      <c r="B309" s="201"/>
    </row>
    <row r="310" s="140" customFormat="1" ht="18.75">
      <c r="B310" s="201"/>
    </row>
    <row r="311" s="140" customFormat="1" ht="18.75">
      <c r="B311" s="201"/>
    </row>
    <row r="312" s="140" customFormat="1" ht="18.75">
      <c r="B312" s="201"/>
    </row>
    <row r="313" s="140" customFormat="1" ht="18.75">
      <c r="B313" s="201"/>
    </row>
    <row r="314" s="140" customFormat="1" ht="18.75">
      <c r="B314" s="201"/>
    </row>
    <row r="315" s="140" customFormat="1" ht="18.75">
      <c r="B315" s="201"/>
    </row>
    <row r="316" s="140" customFormat="1" ht="18.75">
      <c r="B316" s="201"/>
    </row>
    <row r="317" s="140" customFormat="1" ht="18.75">
      <c r="B317" s="201"/>
    </row>
    <row r="318" s="140" customFormat="1" ht="18.75">
      <c r="B318" s="201"/>
    </row>
    <row r="319" s="140" customFormat="1" ht="18.75">
      <c r="B319" s="201"/>
    </row>
    <row r="320" s="140" customFormat="1" ht="18.75">
      <c r="B320" s="201"/>
    </row>
    <row r="321" s="140" customFormat="1" ht="18.75">
      <c r="B321" s="201"/>
    </row>
    <row r="322" s="140" customFormat="1" ht="18.75">
      <c r="B322" s="201"/>
    </row>
    <row r="323" s="140" customFormat="1" ht="18.75">
      <c r="B323" s="201"/>
    </row>
  </sheetData>
  <sheetProtection/>
  <mergeCells count="35">
    <mergeCell ref="D114:F114"/>
    <mergeCell ref="H114:J114"/>
    <mergeCell ref="D115:F115"/>
    <mergeCell ref="H115:J115"/>
    <mergeCell ref="K30:K31"/>
    <mergeCell ref="B33:J33"/>
    <mergeCell ref="B34:K34"/>
    <mergeCell ref="B76:J76"/>
    <mergeCell ref="B93:J93"/>
    <mergeCell ref="B107:C107"/>
    <mergeCell ref="B30:B31"/>
    <mergeCell ref="C30:C31"/>
    <mergeCell ref="D30:D31"/>
    <mergeCell ref="E30:E31"/>
    <mergeCell ref="F30:F31"/>
    <mergeCell ref="G30:J30"/>
    <mergeCell ref="C22:F22"/>
    <mergeCell ref="C23:J23"/>
    <mergeCell ref="C24:F24"/>
    <mergeCell ref="C25:F25"/>
    <mergeCell ref="B27:J27"/>
    <mergeCell ref="B28:J28"/>
    <mergeCell ref="C17:F17"/>
    <mergeCell ref="C18:F18"/>
    <mergeCell ref="C19:F19"/>
    <mergeCell ref="C20:F20"/>
    <mergeCell ref="G20:I20"/>
    <mergeCell ref="C21:F21"/>
    <mergeCell ref="G21:I21"/>
    <mergeCell ref="H11:I11"/>
    <mergeCell ref="C13:F13"/>
    <mergeCell ref="I13:J13"/>
    <mergeCell ref="C14:G14"/>
    <mergeCell ref="C15:F15"/>
    <mergeCell ref="C16:F16"/>
  </mergeCells>
  <printOptions/>
  <pageMargins left="0.7874015748031497" right="0.2362204724409449" top="0.5905511811023623" bottom="0.5905511811023623" header="0.1968503937007874" footer="0.1968503937007874"/>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M323"/>
  <sheetViews>
    <sheetView zoomScale="90" zoomScaleNormal="90" zoomScalePageLayoutView="0" workbookViewId="0" topLeftCell="A4">
      <selection activeCell="E35" sqref="E35"/>
    </sheetView>
  </sheetViews>
  <sheetFormatPr defaultColWidth="9.140625" defaultRowHeight="15"/>
  <cols>
    <col min="1" max="1" width="70.28125" style="139" customWidth="1"/>
    <col min="2" max="2" width="7.140625" style="140" customWidth="1"/>
    <col min="3" max="3" width="7.00390625" style="140" customWidth="1"/>
    <col min="4" max="4" width="8.28125" style="140" customWidth="1"/>
    <col min="5" max="5" width="13.57421875" style="139" customWidth="1"/>
    <col min="6" max="6" width="10.00390625" style="139" customWidth="1"/>
    <col min="7" max="7" width="10.7109375" style="139" customWidth="1"/>
    <col min="8" max="8" width="14.8515625" style="139" customWidth="1"/>
    <col min="9" max="9" width="14.57421875" style="139" customWidth="1"/>
    <col min="10" max="10" width="82.7109375" style="139" hidden="1" customWidth="1"/>
    <col min="11" max="11" width="9.140625" style="139" customWidth="1"/>
    <col min="12" max="12" width="13.8515625" style="139" bestFit="1" customWidth="1"/>
    <col min="13" max="13" width="12.28125" style="139" bestFit="1" customWidth="1"/>
    <col min="14" max="16384" width="9.140625" style="139" customWidth="1"/>
  </cols>
  <sheetData>
    <row r="1" ht="18.75">
      <c r="F1" s="139" t="s">
        <v>453</v>
      </c>
    </row>
    <row r="2" ht="18.75">
      <c r="F2" s="139" t="s">
        <v>454</v>
      </c>
    </row>
    <row r="3" ht="18.75">
      <c r="F3" s="139" t="s">
        <v>455</v>
      </c>
    </row>
    <row r="5" spans="6:9" ht="18.75">
      <c r="F5" s="139" t="s">
        <v>456</v>
      </c>
      <c r="I5" s="139" t="s">
        <v>457</v>
      </c>
    </row>
    <row r="7" spans="7:8" ht="18.75">
      <c r="G7" s="141" t="s">
        <v>458</v>
      </c>
      <c r="H7" s="142" t="s">
        <v>459</v>
      </c>
    </row>
    <row r="8" spans="7:8" ht="18.75">
      <c r="G8" s="141" t="s">
        <v>460</v>
      </c>
      <c r="H8" s="142"/>
    </row>
    <row r="9" spans="7:8" ht="18.75">
      <c r="G9" s="141" t="s">
        <v>461</v>
      </c>
      <c r="H9" s="142"/>
    </row>
    <row r="10" spans="7:8" ht="18.75">
      <c r="G10" s="141" t="s">
        <v>462</v>
      </c>
      <c r="H10" s="142"/>
    </row>
    <row r="11" spans="7:8" ht="18.75">
      <c r="G11" s="427" t="s">
        <v>463</v>
      </c>
      <c r="H11" s="428"/>
    </row>
    <row r="12" ht="10.5" customHeight="1"/>
    <row r="13" spans="2:9" ht="18.75">
      <c r="B13" s="429"/>
      <c r="C13" s="429"/>
      <c r="D13" s="429"/>
      <c r="E13" s="429"/>
      <c r="H13" s="430" t="s">
        <v>464</v>
      </c>
      <c r="I13" s="430"/>
    </row>
    <row r="14" spans="1:9" ht="60.75" customHeight="1">
      <c r="A14" s="144" t="s">
        <v>465</v>
      </c>
      <c r="B14" s="431" t="s">
        <v>466</v>
      </c>
      <c r="C14" s="431"/>
      <c r="D14" s="431"/>
      <c r="E14" s="431"/>
      <c r="F14" s="431"/>
      <c r="G14" s="145"/>
      <c r="H14" s="141" t="s">
        <v>467</v>
      </c>
      <c r="I14" s="142">
        <v>39007143</v>
      </c>
    </row>
    <row r="15" spans="1:9" ht="18.75">
      <c r="A15" s="144" t="s">
        <v>468</v>
      </c>
      <c r="B15" s="424" t="s">
        <v>469</v>
      </c>
      <c r="C15" s="424"/>
      <c r="D15" s="424"/>
      <c r="E15" s="424"/>
      <c r="F15" s="146"/>
      <c r="G15" s="147"/>
      <c r="H15" s="141" t="s">
        <v>470</v>
      </c>
      <c r="I15" s="142">
        <v>150</v>
      </c>
    </row>
    <row r="16" spans="1:9" ht="18.75">
      <c r="A16" s="144" t="s">
        <v>471</v>
      </c>
      <c r="B16" s="424" t="s">
        <v>472</v>
      </c>
      <c r="C16" s="424"/>
      <c r="D16" s="424"/>
      <c r="E16" s="424"/>
      <c r="F16" s="146"/>
      <c r="G16" s="147"/>
      <c r="H16" s="141" t="s">
        <v>473</v>
      </c>
      <c r="I16" s="142">
        <v>2610600000</v>
      </c>
    </row>
    <row r="17" spans="1:9" ht="18.75">
      <c r="A17" s="144" t="s">
        <v>474</v>
      </c>
      <c r="B17" s="424"/>
      <c r="C17" s="424"/>
      <c r="D17" s="424"/>
      <c r="E17" s="424"/>
      <c r="F17" s="148"/>
      <c r="G17" s="145"/>
      <c r="H17" s="141" t="s">
        <v>475</v>
      </c>
      <c r="I17" s="142"/>
    </row>
    <row r="18" spans="1:9" ht="18.75">
      <c r="A18" s="144" t="s">
        <v>476</v>
      </c>
      <c r="B18" s="424"/>
      <c r="C18" s="424"/>
      <c r="D18" s="424"/>
      <c r="E18" s="424"/>
      <c r="F18" s="148"/>
      <c r="G18" s="145"/>
      <c r="H18" s="141" t="s">
        <v>477</v>
      </c>
      <c r="I18" s="142"/>
    </row>
    <row r="19" spans="1:9" ht="18.75">
      <c r="A19" s="144" t="s">
        <v>478</v>
      </c>
      <c r="B19" s="424"/>
      <c r="C19" s="424"/>
      <c r="D19" s="424"/>
      <c r="E19" s="424"/>
      <c r="F19" s="148"/>
      <c r="G19" s="149"/>
      <c r="H19" s="150" t="s">
        <v>479</v>
      </c>
      <c r="I19" s="142" t="s">
        <v>480</v>
      </c>
    </row>
    <row r="20" spans="1:9" ht="18.75">
      <c r="A20" s="144" t="s">
        <v>481</v>
      </c>
      <c r="B20" s="424"/>
      <c r="C20" s="424"/>
      <c r="D20" s="424"/>
      <c r="E20" s="424"/>
      <c r="F20" s="424" t="s">
        <v>482</v>
      </c>
      <c r="G20" s="425"/>
      <c r="H20" s="426"/>
      <c r="I20" s="151" t="s">
        <v>459</v>
      </c>
    </row>
    <row r="21" spans="1:9" ht="18.75">
      <c r="A21" s="144" t="s">
        <v>483</v>
      </c>
      <c r="B21" s="424" t="s">
        <v>484</v>
      </c>
      <c r="C21" s="424"/>
      <c r="D21" s="424"/>
      <c r="E21" s="424"/>
      <c r="F21" s="424" t="s">
        <v>485</v>
      </c>
      <c r="G21" s="425"/>
      <c r="H21" s="426"/>
      <c r="I21" s="152"/>
    </row>
    <row r="22" spans="1:9" ht="18.75">
      <c r="A22" s="144" t="s">
        <v>486</v>
      </c>
      <c r="B22" s="421">
        <v>220</v>
      </c>
      <c r="C22" s="421"/>
      <c r="D22" s="421"/>
      <c r="E22" s="421"/>
      <c r="F22" s="148"/>
      <c r="G22" s="148"/>
      <c r="H22" s="148"/>
      <c r="I22" s="145"/>
    </row>
    <row r="23" spans="1:9" ht="18.75">
      <c r="A23" s="144" t="s">
        <v>487</v>
      </c>
      <c r="B23" s="424" t="s">
        <v>488</v>
      </c>
      <c r="C23" s="424"/>
      <c r="D23" s="424"/>
      <c r="E23" s="424"/>
      <c r="F23" s="424"/>
      <c r="G23" s="424"/>
      <c r="H23" s="424"/>
      <c r="I23" s="432"/>
    </row>
    <row r="24" spans="1:9" ht="18.75">
      <c r="A24" s="144" t="s">
        <v>489</v>
      </c>
      <c r="B24" s="420" t="s">
        <v>490</v>
      </c>
      <c r="C24" s="420"/>
      <c r="D24" s="420"/>
      <c r="E24" s="420"/>
      <c r="F24" s="148"/>
      <c r="G24" s="148"/>
      <c r="H24" s="148"/>
      <c r="I24" s="145"/>
    </row>
    <row r="25" spans="1:9" ht="18.75">
      <c r="A25" s="144" t="s">
        <v>491</v>
      </c>
      <c r="B25" s="421" t="s">
        <v>492</v>
      </c>
      <c r="C25" s="421"/>
      <c r="D25" s="421"/>
      <c r="E25" s="421"/>
      <c r="F25" s="146"/>
      <c r="G25" s="146"/>
      <c r="H25" s="146"/>
      <c r="I25" s="147"/>
    </row>
    <row r="26" ht="10.5" customHeight="1"/>
    <row r="27" spans="1:9" ht="18.75">
      <c r="A27" s="422" t="s">
        <v>493</v>
      </c>
      <c r="B27" s="422"/>
      <c r="C27" s="422"/>
      <c r="D27" s="422"/>
      <c r="E27" s="422"/>
      <c r="F27" s="422"/>
      <c r="G27" s="422"/>
      <c r="H27" s="422"/>
      <c r="I27" s="422"/>
    </row>
    <row r="28" spans="1:10" ht="8.25" customHeight="1">
      <c r="A28" s="423"/>
      <c r="B28" s="423"/>
      <c r="C28" s="423"/>
      <c r="D28" s="423"/>
      <c r="E28" s="423"/>
      <c r="F28" s="423"/>
      <c r="G28" s="423"/>
      <c r="H28" s="423"/>
      <c r="I28" s="423"/>
      <c r="J28" s="154"/>
    </row>
    <row r="29" spans="1:9" ht="18.75">
      <c r="A29" s="153"/>
      <c r="B29" s="155"/>
      <c r="C29" s="153"/>
      <c r="D29" s="153"/>
      <c r="E29" s="153"/>
      <c r="F29" s="153"/>
      <c r="G29" s="153"/>
      <c r="H29" s="153"/>
      <c r="I29" s="153" t="s">
        <v>494</v>
      </c>
    </row>
    <row r="30" spans="1:10" ht="18.75">
      <c r="A30" s="430" t="s">
        <v>495</v>
      </c>
      <c r="B30" s="437" t="s">
        <v>496</v>
      </c>
      <c r="C30" s="443" t="s">
        <v>497</v>
      </c>
      <c r="D30" s="443" t="s">
        <v>498</v>
      </c>
      <c r="E30" s="437" t="s">
        <v>499</v>
      </c>
      <c r="F30" s="438" t="s">
        <v>500</v>
      </c>
      <c r="G30" s="438"/>
      <c r="H30" s="438"/>
      <c r="I30" s="438"/>
      <c r="J30" s="438" t="s">
        <v>501</v>
      </c>
    </row>
    <row r="31" spans="1:10" ht="18.75">
      <c r="A31" s="430"/>
      <c r="B31" s="437"/>
      <c r="C31" s="443"/>
      <c r="D31" s="443"/>
      <c r="E31" s="437"/>
      <c r="F31" s="156" t="s">
        <v>502</v>
      </c>
      <c r="G31" s="156" t="s">
        <v>503</v>
      </c>
      <c r="H31" s="156" t="s">
        <v>504</v>
      </c>
      <c r="I31" s="156" t="s">
        <v>505</v>
      </c>
      <c r="J31" s="438"/>
    </row>
    <row r="32" spans="1:10" ht="18.75">
      <c r="A32" s="142">
        <v>1</v>
      </c>
      <c r="B32" s="151">
        <v>2</v>
      </c>
      <c r="C32" s="151">
        <v>3</v>
      </c>
      <c r="D32" s="151">
        <v>4</v>
      </c>
      <c r="E32" s="151">
        <v>5</v>
      </c>
      <c r="F32" s="151">
        <v>6</v>
      </c>
      <c r="G32" s="151">
        <v>7</v>
      </c>
      <c r="H32" s="151">
        <v>8</v>
      </c>
      <c r="I32" s="151">
        <v>9</v>
      </c>
      <c r="J32" s="151">
        <v>10</v>
      </c>
    </row>
    <row r="33" spans="1:10" ht="18.75">
      <c r="A33" s="439" t="s">
        <v>506</v>
      </c>
      <c r="B33" s="439"/>
      <c r="C33" s="439"/>
      <c r="D33" s="439"/>
      <c r="E33" s="439"/>
      <c r="F33" s="439"/>
      <c r="G33" s="439"/>
      <c r="H33" s="439"/>
      <c r="I33" s="440"/>
      <c r="J33" s="151"/>
    </row>
    <row r="34" spans="1:10" s="158" customFormat="1" ht="18.75" customHeight="1">
      <c r="A34" s="441" t="s">
        <v>507</v>
      </c>
      <c r="B34" s="441"/>
      <c r="C34" s="441"/>
      <c r="D34" s="441"/>
      <c r="E34" s="441"/>
      <c r="F34" s="441"/>
      <c r="G34" s="441"/>
      <c r="H34" s="441"/>
      <c r="I34" s="441"/>
      <c r="J34" s="441"/>
    </row>
    <row r="35" spans="1:10" s="158" customFormat="1" ht="37.5">
      <c r="A35" s="159" t="s">
        <v>508</v>
      </c>
      <c r="B35" s="160">
        <v>100</v>
      </c>
      <c r="C35" s="161"/>
      <c r="D35" s="161"/>
      <c r="E35" s="162">
        <f aca="true" t="shared" si="0" ref="E35:E44">SUM(F35:I35)</f>
        <v>11436.380000000001</v>
      </c>
      <c r="F35" s="163"/>
      <c r="G35" s="163"/>
      <c r="H35" s="163">
        <v>6803.72</v>
      </c>
      <c r="I35" s="163">
        <v>4632.66</v>
      </c>
      <c r="J35" s="164" t="s">
        <v>509</v>
      </c>
    </row>
    <row r="36" spans="1:13" s="158" customFormat="1" ht="56.25">
      <c r="A36" s="159" t="s">
        <v>510</v>
      </c>
      <c r="B36" s="160">
        <v>110</v>
      </c>
      <c r="C36" s="161"/>
      <c r="D36" s="161"/>
      <c r="E36" s="162">
        <f t="shared" si="0"/>
        <v>0</v>
      </c>
      <c r="F36" s="163"/>
      <c r="G36" s="163"/>
      <c r="H36" s="163">
        <v>0</v>
      </c>
      <c r="I36" s="163">
        <v>0</v>
      </c>
      <c r="J36" s="164" t="s">
        <v>448</v>
      </c>
      <c r="L36" s="249"/>
      <c r="M36" s="250"/>
    </row>
    <row r="37" spans="1:10" s="158" customFormat="1" ht="37.5">
      <c r="A37" s="159" t="s">
        <v>511</v>
      </c>
      <c r="B37" s="160">
        <v>120</v>
      </c>
      <c r="C37" s="161"/>
      <c r="D37" s="161"/>
      <c r="E37" s="162">
        <f t="shared" si="0"/>
        <v>860.90541</v>
      </c>
      <c r="F37" s="163"/>
      <c r="G37" s="163"/>
      <c r="H37" s="163">
        <f>H38+H39+H40</f>
        <v>500.90540999999996</v>
      </c>
      <c r="I37" s="163">
        <f>I38+I39+I40</f>
        <v>360</v>
      </c>
      <c r="J37" s="164"/>
    </row>
    <row r="38" spans="1:10" s="158" customFormat="1" ht="56.25">
      <c r="A38" s="165" t="s">
        <v>512</v>
      </c>
      <c r="B38" s="166">
        <v>121</v>
      </c>
      <c r="C38" s="161"/>
      <c r="D38" s="161"/>
      <c r="E38" s="162">
        <f t="shared" si="0"/>
        <v>0</v>
      </c>
      <c r="F38" s="163"/>
      <c r="G38" s="163"/>
      <c r="H38" s="163"/>
      <c r="I38" s="163"/>
      <c r="J38" s="164"/>
    </row>
    <row r="39" spans="1:10" s="158" customFormat="1" ht="37.5">
      <c r="A39" s="165" t="s">
        <v>513</v>
      </c>
      <c r="B39" s="166">
        <v>122</v>
      </c>
      <c r="C39" s="161"/>
      <c r="D39" s="161"/>
      <c r="E39" s="162">
        <f t="shared" si="0"/>
        <v>0</v>
      </c>
      <c r="F39" s="163"/>
      <c r="G39" s="163"/>
      <c r="H39" s="163">
        <v>0</v>
      </c>
      <c r="I39" s="163">
        <v>0</v>
      </c>
      <c r="J39" s="164"/>
    </row>
    <row r="40" spans="1:10" s="158" customFormat="1" ht="56.25">
      <c r="A40" s="165" t="s">
        <v>514</v>
      </c>
      <c r="B40" s="166">
        <v>123</v>
      </c>
      <c r="C40" s="161"/>
      <c r="D40" s="161"/>
      <c r="E40" s="162">
        <f t="shared" si="0"/>
        <v>860.90541</v>
      </c>
      <c r="F40" s="163"/>
      <c r="G40" s="163"/>
      <c r="H40" s="163">
        <f>500905.41/1000</f>
        <v>500.90540999999996</v>
      </c>
      <c r="I40" s="163">
        <f>360000/1000</f>
        <v>360</v>
      </c>
      <c r="J40" s="164" t="s">
        <v>515</v>
      </c>
    </row>
    <row r="41" spans="1:10" ht="37.5">
      <c r="A41" s="159" t="s">
        <v>516</v>
      </c>
      <c r="B41" s="160">
        <v>130</v>
      </c>
      <c r="C41" s="167">
        <f>SUM(C42:C59)</f>
        <v>0</v>
      </c>
      <c r="D41" s="167">
        <f>SUM(D42:D59)</f>
        <v>0</v>
      </c>
      <c r="E41" s="168">
        <f t="shared" si="0"/>
        <v>-10240.09</v>
      </c>
      <c r="F41" s="162">
        <f>SUM(F42:F59)</f>
        <v>0</v>
      </c>
      <c r="G41" s="162">
        <f>SUM(G42:G59)</f>
        <v>0</v>
      </c>
      <c r="H41" s="162">
        <f>H42+H45+H46+H51+SUM(H52:H59)</f>
        <v>-6019.87</v>
      </c>
      <c r="I41" s="162">
        <f>I42+I45+I46+I51+SUM(I52:I59)</f>
        <v>-4220.22</v>
      </c>
      <c r="J41" s="164"/>
    </row>
    <row r="42" spans="1:10" s="171" customFormat="1" ht="18.75">
      <c r="A42" s="159" t="s">
        <v>517</v>
      </c>
      <c r="B42" s="151">
        <v>140</v>
      </c>
      <c r="C42" s="169"/>
      <c r="D42" s="169"/>
      <c r="E42" s="168">
        <f t="shared" si="0"/>
        <v>-381</v>
      </c>
      <c r="F42" s="170"/>
      <c r="G42" s="170"/>
      <c r="H42" s="170">
        <f>SUM(H43:H44)</f>
        <v>-254.42000000000002</v>
      </c>
      <c r="I42" s="170">
        <f>SUM(I43:I44)</f>
        <v>-126.58</v>
      </c>
      <c r="J42" s="164"/>
    </row>
    <row r="43" spans="1:13" s="171" customFormat="1" ht="18.75">
      <c r="A43" s="165" t="s">
        <v>518</v>
      </c>
      <c r="B43" s="172">
        <v>141</v>
      </c>
      <c r="C43" s="161"/>
      <c r="D43" s="161"/>
      <c r="E43" s="162">
        <f t="shared" si="0"/>
        <v>-265</v>
      </c>
      <c r="F43" s="163"/>
      <c r="G43" s="163"/>
      <c r="H43" s="163">
        <v>-157.5</v>
      </c>
      <c r="I43" s="163">
        <v>-107.5</v>
      </c>
      <c r="J43" s="164"/>
      <c r="K43" s="171">
        <v>2220</v>
      </c>
      <c r="L43" s="202">
        <f>Помісячно!Q12</f>
        <v>157500</v>
      </c>
      <c r="M43" s="202">
        <f>Помісячно!R12</f>
        <v>107500</v>
      </c>
    </row>
    <row r="44" spans="1:13" s="171" customFormat="1" ht="56.25">
      <c r="A44" s="165" t="s">
        <v>519</v>
      </c>
      <c r="B44" s="172">
        <v>142</v>
      </c>
      <c r="C44" s="161"/>
      <c r="D44" s="161"/>
      <c r="E44" s="162">
        <f t="shared" si="0"/>
        <v>-116</v>
      </c>
      <c r="F44" s="163"/>
      <c r="G44" s="163"/>
      <c r="H44" s="163">
        <v>-96.92</v>
      </c>
      <c r="I44" s="163">
        <v>-19.08</v>
      </c>
      <c r="J44" s="164"/>
      <c r="K44" s="171">
        <v>2210</v>
      </c>
      <c r="L44" s="202">
        <f>Помісячно!Q11</f>
        <v>211416</v>
      </c>
      <c r="M44" s="202">
        <f>Помісячно!R11</f>
        <v>148584</v>
      </c>
    </row>
    <row r="45" spans="1:12" s="171" customFormat="1" ht="18.75">
      <c r="A45" s="159" t="s">
        <v>520</v>
      </c>
      <c r="B45" s="151">
        <v>150</v>
      </c>
      <c r="C45" s="161"/>
      <c r="D45" s="161"/>
      <c r="E45" s="162">
        <f aca="true" t="shared" si="1" ref="E45:E75">SUM(F45:I45)</f>
        <v>-167.8</v>
      </c>
      <c r="F45" s="173"/>
      <c r="G45" s="163"/>
      <c r="H45" s="163">
        <v>-83.9</v>
      </c>
      <c r="I45" s="163">
        <v>-83.9</v>
      </c>
      <c r="J45" s="164"/>
      <c r="K45" s="171">
        <v>2210</v>
      </c>
      <c r="L45" s="171" t="e">
        <f>(#REF!+#REF!)/2</f>
        <v>#REF!</v>
      </c>
    </row>
    <row r="46" spans="1:13" s="171" customFormat="1" ht="18.75">
      <c r="A46" s="159" t="s">
        <v>521</v>
      </c>
      <c r="B46" s="151">
        <v>160</v>
      </c>
      <c r="C46" s="169"/>
      <c r="D46" s="169"/>
      <c r="E46" s="174">
        <f>SUM(F46:I46)</f>
        <v>-453.10999999999996</v>
      </c>
      <c r="F46" s="170"/>
      <c r="G46" s="170"/>
      <c r="H46" s="170">
        <f>SUM(H47:H50)</f>
        <v>-16.96</v>
      </c>
      <c r="I46" s="170">
        <f>SUM(I47:I50)</f>
        <v>-436.15</v>
      </c>
      <c r="J46" s="164"/>
      <c r="L46" s="202">
        <f>Помісячно!Q16</f>
        <v>0</v>
      </c>
      <c r="M46" s="202">
        <f>Помісячно!R16</f>
        <v>0</v>
      </c>
    </row>
    <row r="47" spans="1:13" s="171" customFormat="1" ht="18.75">
      <c r="A47" s="165" t="s">
        <v>522</v>
      </c>
      <c r="B47" s="172">
        <v>161</v>
      </c>
      <c r="C47" s="161"/>
      <c r="D47" s="161"/>
      <c r="E47" s="162">
        <f t="shared" si="1"/>
        <v>-232.98000000000002</v>
      </c>
      <c r="F47" s="163"/>
      <c r="G47" s="163"/>
      <c r="H47" s="163">
        <v>-14.18</v>
      </c>
      <c r="I47" s="163">
        <v>-218.8</v>
      </c>
      <c r="J47" s="164"/>
      <c r="L47" s="202">
        <f>Помісячно!Q19</f>
        <v>18680</v>
      </c>
      <c r="M47" s="202">
        <f>Помісячно!R19</f>
        <v>230140</v>
      </c>
    </row>
    <row r="48" spans="1:13" s="171" customFormat="1" ht="18.75">
      <c r="A48" s="165" t="s">
        <v>523</v>
      </c>
      <c r="B48" s="172">
        <v>162</v>
      </c>
      <c r="C48" s="161"/>
      <c r="D48" s="161"/>
      <c r="E48" s="162">
        <f t="shared" si="1"/>
        <v>-4.88</v>
      </c>
      <c r="F48" s="163"/>
      <c r="G48" s="163"/>
      <c r="H48" s="163">
        <v>-2.78</v>
      </c>
      <c r="I48" s="163">
        <v>-2.1</v>
      </c>
      <c r="J48" s="164"/>
      <c r="L48" s="202">
        <f>Помісячно!Q18</f>
        <v>3476</v>
      </c>
      <c r="M48" s="202">
        <f>Помісячно!R18</f>
        <v>2675</v>
      </c>
    </row>
    <row r="49" spans="1:10" s="171" customFormat="1" ht="18.75">
      <c r="A49" s="165" t="s">
        <v>524</v>
      </c>
      <c r="B49" s="172">
        <v>163</v>
      </c>
      <c r="C49" s="161"/>
      <c r="D49" s="161"/>
      <c r="E49" s="162">
        <f t="shared" si="1"/>
        <v>0</v>
      </c>
      <c r="F49" s="163"/>
      <c r="G49" s="163"/>
      <c r="H49" s="163"/>
      <c r="I49" s="163" t="s">
        <v>525</v>
      </c>
      <c r="J49" s="164"/>
    </row>
    <row r="50" spans="1:13" s="171" customFormat="1" ht="18.75">
      <c r="A50" s="165" t="s">
        <v>526</v>
      </c>
      <c r="B50" s="172">
        <v>164</v>
      </c>
      <c r="C50" s="161"/>
      <c r="D50" s="161"/>
      <c r="E50" s="162">
        <f t="shared" si="1"/>
        <v>-215.25</v>
      </c>
      <c r="F50" s="163"/>
      <c r="G50" s="163"/>
      <c r="H50" s="163"/>
      <c r="I50" s="163">
        <v>-215.25</v>
      </c>
      <c r="J50" s="164"/>
      <c r="L50" s="202">
        <f>Помісячно!Q17</f>
        <v>0</v>
      </c>
      <c r="M50" s="202">
        <f>Помісячно!R17</f>
        <v>215252</v>
      </c>
    </row>
    <row r="51" spans="1:13" s="171" customFormat="1" ht="37.5">
      <c r="A51" s="159" t="s">
        <v>527</v>
      </c>
      <c r="B51" s="151">
        <v>170</v>
      </c>
      <c r="C51" s="161"/>
      <c r="D51" s="161"/>
      <c r="E51" s="162">
        <f t="shared" si="1"/>
        <v>-486.61</v>
      </c>
      <c r="F51" s="163"/>
      <c r="G51" s="163"/>
      <c r="H51" s="163">
        <v>-318.81</v>
      </c>
      <c r="I51" s="163">
        <v>-167.8</v>
      </c>
      <c r="J51" s="164"/>
      <c r="K51" s="171">
        <v>2240</v>
      </c>
      <c r="L51" s="202">
        <f>Помісячно!Q14</f>
        <v>404150</v>
      </c>
      <c r="M51" s="202">
        <f>Помісячно!R14</f>
        <v>130000</v>
      </c>
    </row>
    <row r="52" spans="1:10" s="171" customFormat="1" ht="18.75">
      <c r="A52" s="159" t="s">
        <v>528</v>
      </c>
      <c r="B52" s="151">
        <v>180</v>
      </c>
      <c r="C52" s="161"/>
      <c r="D52" s="161"/>
      <c r="E52" s="162">
        <f>SUM(F52:I52)</f>
        <v>-6256.780000000001</v>
      </c>
      <c r="F52" s="163"/>
      <c r="G52" s="163"/>
      <c r="H52" s="163">
        <v>-3775.5</v>
      </c>
      <c r="I52" s="163">
        <v>-2481.28</v>
      </c>
      <c r="J52" s="164"/>
    </row>
    <row r="53" spans="1:10" s="171" customFormat="1" ht="18.75">
      <c r="A53" s="159" t="s">
        <v>529</v>
      </c>
      <c r="B53" s="151">
        <v>190</v>
      </c>
      <c r="C53" s="161"/>
      <c r="D53" s="161"/>
      <c r="E53" s="162">
        <f t="shared" si="1"/>
        <v>-1376.52</v>
      </c>
      <c r="F53" s="163"/>
      <c r="G53" s="163"/>
      <c r="H53" s="163">
        <v>-864.51</v>
      </c>
      <c r="I53" s="163">
        <v>-512.01</v>
      </c>
      <c r="J53" s="164"/>
    </row>
    <row r="54" spans="1:13" s="171" customFormat="1" ht="18.75">
      <c r="A54" s="159" t="s">
        <v>530</v>
      </c>
      <c r="B54" s="151">
        <v>200</v>
      </c>
      <c r="C54" s="161"/>
      <c r="D54" s="161"/>
      <c r="E54" s="162">
        <f t="shared" si="1"/>
        <v>-129</v>
      </c>
      <c r="F54" s="163"/>
      <c r="G54" s="163"/>
      <c r="H54" s="163">
        <v>-86.5</v>
      </c>
      <c r="I54" s="163">
        <v>-42.5</v>
      </c>
      <c r="J54" s="164"/>
      <c r="L54" s="202">
        <f>Помісячно!Q15</f>
        <v>95000</v>
      </c>
      <c r="M54" s="202">
        <f>Помісячно!R15</f>
        <v>50000</v>
      </c>
    </row>
    <row r="55" spans="1:13" s="171" customFormat="1" ht="18.75">
      <c r="A55" s="159" t="s">
        <v>531</v>
      </c>
      <c r="B55" s="151">
        <v>210</v>
      </c>
      <c r="C55" s="161"/>
      <c r="D55" s="161"/>
      <c r="E55" s="162">
        <f t="shared" si="1"/>
        <v>-27.5</v>
      </c>
      <c r="F55" s="163"/>
      <c r="G55" s="163"/>
      <c r="H55" s="163">
        <v>-17.5</v>
      </c>
      <c r="I55" s="163">
        <v>-10</v>
      </c>
      <c r="J55" s="164"/>
      <c r="L55" s="202">
        <f>Помісячно!Q25</f>
        <v>20000</v>
      </c>
      <c r="M55" s="202">
        <f>Помісячно!R25</f>
        <v>10000</v>
      </c>
    </row>
    <row r="56" spans="1:10" s="171" customFormat="1" ht="37.5">
      <c r="A56" s="159" t="s">
        <v>532</v>
      </c>
      <c r="B56" s="151">
        <v>220</v>
      </c>
      <c r="C56" s="161"/>
      <c r="D56" s="161"/>
      <c r="E56" s="162">
        <f t="shared" si="1"/>
        <v>-860.9</v>
      </c>
      <c r="F56" s="163"/>
      <c r="G56" s="163"/>
      <c r="H56" s="163">
        <v>-500.9</v>
      </c>
      <c r="I56" s="163">
        <v>-360</v>
      </c>
      <c r="J56" s="164" t="s">
        <v>515</v>
      </c>
    </row>
    <row r="57" spans="1:10" s="171" customFormat="1" ht="37.5">
      <c r="A57" s="159" t="s">
        <v>533</v>
      </c>
      <c r="B57" s="151">
        <v>230</v>
      </c>
      <c r="C57" s="161"/>
      <c r="D57" s="161"/>
      <c r="E57" s="162">
        <f t="shared" si="1"/>
        <v>-100</v>
      </c>
      <c r="F57" s="163"/>
      <c r="G57" s="163"/>
      <c r="H57" s="163">
        <v>-100</v>
      </c>
      <c r="I57" s="163">
        <v>0</v>
      </c>
      <c r="J57" s="164" t="s">
        <v>534</v>
      </c>
    </row>
    <row r="58" spans="1:10" s="171" customFormat="1" ht="18.75">
      <c r="A58" s="159" t="s">
        <v>535</v>
      </c>
      <c r="B58" s="151">
        <v>240</v>
      </c>
      <c r="C58" s="161"/>
      <c r="D58" s="161"/>
      <c r="E58" s="162">
        <f t="shared" si="1"/>
        <v>0</v>
      </c>
      <c r="F58" s="163"/>
      <c r="G58" s="163"/>
      <c r="H58" s="163">
        <v>0</v>
      </c>
      <c r="I58" s="163">
        <v>0</v>
      </c>
      <c r="J58" s="164"/>
    </row>
    <row r="59" spans="1:10" s="171" customFormat="1" ht="18.75">
      <c r="A59" s="159" t="s">
        <v>628</v>
      </c>
      <c r="B59" s="160">
        <v>250</v>
      </c>
      <c r="C59" s="161"/>
      <c r="D59" s="161"/>
      <c r="E59" s="162">
        <f t="shared" si="1"/>
        <v>-0.87</v>
      </c>
      <c r="F59" s="163"/>
      <c r="G59" s="163"/>
      <c r="H59" s="163">
        <v>-0.87</v>
      </c>
      <c r="I59" s="163"/>
      <c r="J59" s="164" t="s">
        <v>537</v>
      </c>
    </row>
    <row r="60" spans="1:10" ht="18.75">
      <c r="A60" s="159" t="s">
        <v>538</v>
      </c>
      <c r="B60" s="160">
        <v>260</v>
      </c>
      <c r="C60" s="167">
        <f>SUM(C61:C69,C71)</f>
        <v>0</v>
      </c>
      <c r="D60" s="167">
        <f>SUM(D61:D69,D71)</f>
        <v>0</v>
      </c>
      <c r="E60" s="168">
        <f t="shared" si="1"/>
        <v>-1732.07</v>
      </c>
      <c r="F60" s="162">
        <f>SUM(F61:F69,F71)</f>
        <v>0</v>
      </c>
      <c r="G60" s="162">
        <f>SUM(G61:G69,G71)</f>
        <v>0</v>
      </c>
      <c r="H60" s="162">
        <f>SUM(H61:H71)</f>
        <v>-974.62</v>
      </c>
      <c r="I60" s="162">
        <f>SUM(I61:I71)</f>
        <v>-757.4499999999999</v>
      </c>
      <c r="J60" s="164"/>
    </row>
    <row r="61" spans="1:10" ht="56.25">
      <c r="A61" s="165" t="s">
        <v>539</v>
      </c>
      <c r="B61" s="166">
        <v>261</v>
      </c>
      <c r="C61" s="161"/>
      <c r="D61" s="161"/>
      <c r="E61" s="162">
        <f t="shared" si="1"/>
        <v>-27</v>
      </c>
      <c r="F61" s="163"/>
      <c r="G61" s="163"/>
      <c r="H61" s="163">
        <v>-13.5</v>
      </c>
      <c r="I61" s="163">
        <v>-13.5</v>
      </c>
      <c r="J61" s="164"/>
    </row>
    <row r="62" spans="1:10" ht="37.5">
      <c r="A62" s="165" t="s">
        <v>527</v>
      </c>
      <c r="B62" s="166">
        <v>262</v>
      </c>
      <c r="C62" s="161"/>
      <c r="D62" s="161"/>
      <c r="E62" s="162">
        <f t="shared" si="1"/>
        <v>-38.300000000000004</v>
      </c>
      <c r="F62" s="163"/>
      <c r="G62" s="163"/>
      <c r="H62" s="163">
        <v>-32.6</v>
      </c>
      <c r="I62" s="163">
        <v>-5.7</v>
      </c>
      <c r="J62" s="164" t="s">
        <v>540</v>
      </c>
    </row>
    <row r="63" spans="1:12" s="171" customFormat="1" ht="18.75">
      <c r="A63" s="165" t="s">
        <v>541</v>
      </c>
      <c r="B63" s="166">
        <v>263</v>
      </c>
      <c r="C63" s="161"/>
      <c r="D63" s="161"/>
      <c r="E63" s="162">
        <f t="shared" si="1"/>
        <v>-16</v>
      </c>
      <c r="F63" s="163"/>
      <c r="G63" s="163"/>
      <c r="H63" s="163">
        <v>-8.5</v>
      </c>
      <c r="I63" s="163">
        <v>-7.5</v>
      </c>
      <c r="J63" s="164" t="s">
        <v>542</v>
      </c>
      <c r="L63" s="175"/>
    </row>
    <row r="64" spans="1:10" s="171" customFormat="1" ht="18.75">
      <c r="A64" s="165" t="s">
        <v>543</v>
      </c>
      <c r="B64" s="166">
        <v>264</v>
      </c>
      <c r="C64" s="161"/>
      <c r="D64" s="161"/>
      <c r="E64" s="162">
        <f t="shared" si="1"/>
        <v>-1296.84</v>
      </c>
      <c r="F64" s="163"/>
      <c r="G64" s="163"/>
      <c r="H64" s="163">
        <v>-719.28</v>
      </c>
      <c r="I64" s="163">
        <v>-577.56</v>
      </c>
      <c r="J64" s="164"/>
    </row>
    <row r="65" spans="1:10" s="171" customFormat="1" ht="18.75">
      <c r="A65" s="165" t="s">
        <v>544</v>
      </c>
      <c r="B65" s="166">
        <v>265</v>
      </c>
      <c r="C65" s="161"/>
      <c r="D65" s="161"/>
      <c r="E65" s="162">
        <f t="shared" si="1"/>
        <v>-285.3</v>
      </c>
      <c r="F65" s="163"/>
      <c r="G65" s="163"/>
      <c r="H65" s="163">
        <v>-162.63</v>
      </c>
      <c r="I65" s="163">
        <v>-122.67</v>
      </c>
      <c r="J65" s="164"/>
    </row>
    <row r="66" spans="1:10" s="171" customFormat="1" ht="18.75">
      <c r="A66" s="165" t="s">
        <v>522</v>
      </c>
      <c r="B66" s="166">
        <v>266</v>
      </c>
      <c r="C66" s="161"/>
      <c r="D66" s="161"/>
      <c r="E66" s="162">
        <f t="shared" si="1"/>
        <v>-15.75</v>
      </c>
      <c r="F66" s="163"/>
      <c r="G66" s="163"/>
      <c r="H66" s="163">
        <v>-4.5</v>
      </c>
      <c r="I66" s="163">
        <v>-11.25</v>
      </c>
      <c r="J66" s="164" t="s">
        <v>545</v>
      </c>
    </row>
    <row r="67" spans="1:10" s="171" customFormat="1" ht="18.75">
      <c r="A67" s="165" t="s">
        <v>523</v>
      </c>
      <c r="B67" s="166">
        <v>267</v>
      </c>
      <c r="C67" s="161"/>
      <c r="D67" s="161"/>
      <c r="E67" s="162">
        <f t="shared" si="1"/>
        <v>-1.34</v>
      </c>
      <c r="F67" s="163"/>
      <c r="G67" s="163"/>
      <c r="H67" s="163">
        <v>-0.67</v>
      </c>
      <c r="I67" s="163">
        <v>-0.67</v>
      </c>
      <c r="J67" s="164"/>
    </row>
    <row r="68" spans="1:10" s="171" customFormat="1" ht="18.75">
      <c r="A68" s="159" t="s">
        <v>520</v>
      </c>
      <c r="B68" s="166">
        <v>268</v>
      </c>
      <c r="C68" s="161"/>
      <c r="D68" s="161"/>
      <c r="E68" s="162">
        <f t="shared" si="1"/>
        <v>-34.2</v>
      </c>
      <c r="F68" s="163"/>
      <c r="G68" s="163"/>
      <c r="H68" s="163">
        <v>-17.1</v>
      </c>
      <c r="I68" s="163">
        <v>-17.1</v>
      </c>
      <c r="J68" s="164"/>
    </row>
    <row r="69" spans="1:10" s="171" customFormat="1" ht="18.75">
      <c r="A69" s="159" t="s">
        <v>531</v>
      </c>
      <c r="B69" s="166">
        <v>269</v>
      </c>
      <c r="C69" s="161"/>
      <c r="D69" s="161"/>
      <c r="E69" s="162">
        <f t="shared" si="1"/>
        <v>-2.5</v>
      </c>
      <c r="F69" s="161"/>
      <c r="G69" s="161"/>
      <c r="H69" s="163">
        <v>-2.5</v>
      </c>
      <c r="I69" s="161"/>
      <c r="J69" s="164" t="s">
        <v>546</v>
      </c>
    </row>
    <row r="70" spans="1:10" s="171" customFormat="1" ht="18.75">
      <c r="A70" s="159" t="s">
        <v>547</v>
      </c>
      <c r="B70" s="160">
        <v>270</v>
      </c>
      <c r="C70" s="161"/>
      <c r="D70" s="161"/>
      <c r="E70" s="162">
        <f>SUM(F70:I70)</f>
        <v>0</v>
      </c>
      <c r="F70" s="163"/>
      <c r="G70" s="163"/>
      <c r="H70" s="163">
        <v>0</v>
      </c>
      <c r="I70" s="163">
        <v>0</v>
      </c>
      <c r="J70" s="164"/>
    </row>
    <row r="71" spans="1:13" s="171" customFormat="1" ht="37.5">
      <c r="A71" s="159" t="s">
        <v>629</v>
      </c>
      <c r="B71" s="160">
        <v>280</v>
      </c>
      <c r="C71" s="161"/>
      <c r="D71" s="161"/>
      <c r="E71" s="162">
        <f t="shared" si="1"/>
        <v>-14.84</v>
      </c>
      <c r="F71" s="163"/>
      <c r="G71" s="163"/>
      <c r="H71" s="163">
        <v>-13.34</v>
      </c>
      <c r="I71" s="163">
        <v>-1.5</v>
      </c>
      <c r="J71" s="164"/>
      <c r="K71" s="171">
        <v>2800</v>
      </c>
      <c r="L71" s="202">
        <f>Помісячно!Q24</f>
        <v>1500</v>
      </c>
      <c r="M71" s="202">
        <f>Помісячно!R24</f>
        <v>1500</v>
      </c>
    </row>
    <row r="72" spans="1:10" s="171" customFormat="1" ht="18.75">
      <c r="A72" s="159" t="s">
        <v>548</v>
      </c>
      <c r="B72" s="160">
        <v>290</v>
      </c>
      <c r="C72" s="169"/>
      <c r="D72" s="169"/>
      <c r="E72" s="162">
        <f t="shared" si="1"/>
        <v>0</v>
      </c>
      <c r="F72" s="170"/>
      <c r="G72" s="170"/>
      <c r="H72" s="170">
        <f>SUM(H73:H74)</f>
        <v>0</v>
      </c>
      <c r="I72" s="170">
        <f>SUM(I73:I74)</f>
        <v>0</v>
      </c>
      <c r="J72" s="164"/>
    </row>
    <row r="73" spans="1:10" s="171" customFormat="1" ht="18.75">
      <c r="A73" s="165" t="s">
        <v>549</v>
      </c>
      <c r="B73" s="176">
        <v>291</v>
      </c>
      <c r="C73" s="161"/>
      <c r="D73" s="161"/>
      <c r="E73" s="162">
        <f t="shared" si="1"/>
        <v>0</v>
      </c>
      <c r="F73" s="163"/>
      <c r="G73" s="163"/>
      <c r="H73" s="163">
        <v>0</v>
      </c>
      <c r="I73" s="163">
        <v>0</v>
      </c>
      <c r="J73" s="164"/>
    </row>
    <row r="74" spans="1:10" s="171" customFormat="1" ht="18.75">
      <c r="A74" s="165" t="s">
        <v>550</v>
      </c>
      <c r="B74" s="176">
        <v>292</v>
      </c>
      <c r="C74" s="161"/>
      <c r="D74" s="161"/>
      <c r="E74" s="162">
        <f t="shared" si="1"/>
        <v>0</v>
      </c>
      <c r="F74" s="161"/>
      <c r="G74" s="161"/>
      <c r="H74" s="163">
        <v>0</v>
      </c>
      <c r="I74" s="163">
        <v>0</v>
      </c>
      <c r="J74" s="164" t="s">
        <v>551</v>
      </c>
    </row>
    <row r="75" spans="1:10" s="171" customFormat="1" ht="37.5">
      <c r="A75" s="159" t="s">
        <v>552</v>
      </c>
      <c r="B75" s="142">
        <v>300</v>
      </c>
      <c r="C75" s="161"/>
      <c r="D75" s="161"/>
      <c r="E75" s="162">
        <f t="shared" si="1"/>
        <v>-15</v>
      </c>
      <c r="F75" s="161"/>
      <c r="G75" s="161"/>
      <c r="H75" s="161">
        <v>0</v>
      </c>
      <c r="I75" s="161">
        <v>-15</v>
      </c>
      <c r="J75" s="164"/>
    </row>
    <row r="76" spans="1:10" s="171" customFormat="1" ht="18.75">
      <c r="A76" s="442" t="s">
        <v>553</v>
      </c>
      <c r="B76" s="439"/>
      <c r="C76" s="439"/>
      <c r="D76" s="439"/>
      <c r="E76" s="439"/>
      <c r="F76" s="439"/>
      <c r="G76" s="439"/>
      <c r="H76" s="439"/>
      <c r="I76" s="440"/>
      <c r="J76" s="164"/>
    </row>
    <row r="77" spans="1:10" s="171" customFormat="1" ht="18.75">
      <c r="A77" s="159" t="s">
        <v>554</v>
      </c>
      <c r="B77" s="142">
        <v>310</v>
      </c>
      <c r="C77" s="161"/>
      <c r="D77" s="161"/>
      <c r="E77" s="162">
        <f aca="true" t="shared" si="2" ref="E77:E82">SUM(F77:I77)</f>
        <v>-2605.92</v>
      </c>
      <c r="F77" s="161"/>
      <c r="G77" s="161"/>
      <c r="H77" s="163">
        <f>H42+H45+H46+H51+H54+H55+H56+H57</f>
        <v>-1378.99</v>
      </c>
      <c r="I77" s="163">
        <f>I42+I45+I46+I51+I54+I55+I56+I57</f>
        <v>-1226.93</v>
      </c>
      <c r="J77" s="164"/>
    </row>
    <row r="78" spans="1:10" s="171" customFormat="1" ht="18.75">
      <c r="A78" s="159" t="s">
        <v>528</v>
      </c>
      <c r="B78" s="142">
        <v>320</v>
      </c>
      <c r="C78" s="161"/>
      <c r="D78" s="161"/>
      <c r="E78" s="162">
        <f t="shared" si="2"/>
        <v>-7553.62</v>
      </c>
      <c r="F78" s="161"/>
      <c r="G78" s="161"/>
      <c r="H78" s="163">
        <f>H52+H64</f>
        <v>-4494.78</v>
      </c>
      <c r="I78" s="163">
        <f>I52+I64</f>
        <v>-3058.84</v>
      </c>
      <c r="J78" s="164"/>
    </row>
    <row r="79" spans="1:10" s="171" customFormat="1" ht="18.75">
      <c r="A79" s="159" t="s">
        <v>529</v>
      </c>
      <c r="B79" s="142">
        <v>330</v>
      </c>
      <c r="C79" s="161"/>
      <c r="D79" s="161"/>
      <c r="E79" s="162">
        <f t="shared" si="2"/>
        <v>-1661.8199999999997</v>
      </c>
      <c r="F79" s="161"/>
      <c r="G79" s="161"/>
      <c r="H79" s="163">
        <f>H53+H65</f>
        <v>-1027.1399999999999</v>
      </c>
      <c r="I79" s="163">
        <f>I53+I65</f>
        <v>-634.68</v>
      </c>
      <c r="J79" s="164"/>
    </row>
    <row r="80" spans="1:10" s="171" customFormat="1" ht="18.75">
      <c r="A80" s="159" t="s">
        <v>535</v>
      </c>
      <c r="B80" s="142">
        <v>340</v>
      </c>
      <c r="C80" s="161"/>
      <c r="D80" s="161"/>
      <c r="E80" s="162">
        <f t="shared" si="2"/>
        <v>0</v>
      </c>
      <c r="F80" s="161"/>
      <c r="G80" s="161"/>
      <c r="H80" s="163">
        <f>H58+H70</f>
        <v>0</v>
      </c>
      <c r="I80" s="163">
        <f>I58+I70</f>
        <v>0</v>
      </c>
      <c r="J80" s="164"/>
    </row>
    <row r="81" spans="1:10" s="171" customFormat="1" ht="18.75">
      <c r="A81" s="159" t="s">
        <v>555</v>
      </c>
      <c r="B81" s="142">
        <v>350</v>
      </c>
      <c r="C81" s="161"/>
      <c r="D81" s="161"/>
      <c r="E81" s="162">
        <f t="shared" si="2"/>
        <v>-165.8</v>
      </c>
      <c r="F81" s="161"/>
      <c r="G81" s="161"/>
      <c r="H81" s="163">
        <f>H59+H62+H63+H66+H68+H69+H71+H67+H61+H75</f>
        <v>-93.58</v>
      </c>
      <c r="I81" s="163">
        <f>I62+I63+I66+I68+I69+I71+I67+I61+I75</f>
        <v>-72.22</v>
      </c>
      <c r="J81" s="164"/>
    </row>
    <row r="82" spans="1:10" s="171" customFormat="1" ht="18.75">
      <c r="A82" s="159" t="s">
        <v>556</v>
      </c>
      <c r="B82" s="142">
        <v>360</v>
      </c>
      <c r="C82" s="161"/>
      <c r="D82" s="161"/>
      <c r="E82" s="168">
        <f t="shared" si="2"/>
        <v>-11987.16</v>
      </c>
      <c r="F82" s="161"/>
      <c r="G82" s="161"/>
      <c r="H82" s="163">
        <f>SUM(H77:H81)</f>
        <v>-6994.49</v>
      </c>
      <c r="I82" s="163">
        <f>SUM(I77:I81)</f>
        <v>-4992.670000000001</v>
      </c>
      <c r="J82" s="164"/>
    </row>
    <row r="83" spans="1:10" s="171" customFormat="1" ht="18.75">
      <c r="A83" s="177" t="s">
        <v>557</v>
      </c>
      <c r="B83" s="178"/>
      <c r="C83" s="178"/>
      <c r="D83" s="178"/>
      <c r="E83" s="178"/>
      <c r="F83" s="178"/>
      <c r="G83" s="178"/>
      <c r="H83" s="178"/>
      <c r="I83" s="179"/>
      <c r="J83" s="164"/>
    </row>
    <row r="84" spans="1:10" s="171" customFormat="1" ht="18.75">
      <c r="A84" s="159" t="s">
        <v>558</v>
      </c>
      <c r="B84" s="142">
        <v>370</v>
      </c>
      <c r="C84" s="169"/>
      <c r="D84" s="169"/>
      <c r="E84" s="168">
        <f>SUM(F84:I84)</f>
        <v>0</v>
      </c>
      <c r="F84" s="169"/>
      <c r="G84" s="169"/>
      <c r="H84" s="170">
        <f>SUM(H85)</f>
        <v>0</v>
      </c>
      <c r="I84" s="170">
        <f>SUM(I85)</f>
        <v>0</v>
      </c>
      <c r="J84" s="164"/>
    </row>
    <row r="85" spans="1:10" s="171" customFormat="1" ht="37.5">
      <c r="A85" s="159" t="s">
        <v>559</v>
      </c>
      <c r="B85" s="176">
        <v>371</v>
      </c>
      <c r="C85" s="161"/>
      <c r="D85" s="161"/>
      <c r="E85" s="162">
        <f>SUM(F85:I85)</f>
        <v>0</v>
      </c>
      <c r="F85" s="161"/>
      <c r="G85" s="161"/>
      <c r="H85" s="163"/>
      <c r="I85" s="163"/>
      <c r="J85" s="164"/>
    </row>
    <row r="86" spans="1:10" s="171" customFormat="1" ht="18.75">
      <c r="A86" s="157" t="s">
        <v>560</v>
      </c>
      <c r="B86" s="180">
        <v>380</v>
      </c>
      <c r="C86" s="181">
        <f>SUM(C87:C92)</f>
        <v>0</v>
      </c>
      <c r="D86" s="181">
        <f>SUM(D87:D92)</f>
        <v>0</v>
      </c>
      <c r="E86" s="168">
        <f aca="true" t="shared" si="3" ref="E86:E92">SUM(F86:I86)</f>
        <v>-310.02</v>
      </c>
      <c r="F86" s="168">
        <f>SUM(F87:F92)</f>
        <v>0</v>
      </c>
      <c r="G86" s="168">
        <f>SUM(G87:G92)</f>
        <v>0</v>
      </c>
      <c r="H86" s="168">
        <f>SUM(H87:H92)</f>
        <v>-310.02</v>
      </c>
      <c r="I86" s="168">
        <f>SUM(I87:I92)</f>
        <v>0</v>
      </c>
      <c r="J86" s="164"/>
    </row>
    <row r="87" spans="1:10" s="171" customFormat="1" ht="18.75">
      <c r="A87" s="159" t="s">
        <v>561</v>
      </c>
      <c r="B87" s="182">
        <v>381</v>
      </c>
      <c r="C87" s="161"/>
      <c r="D87" s="161"/>
      <c r="E87" s="163">
        <f t="shared" si="3"/>
        <v>0</v>
      </c>
      <c r="F87" s="163"/>
      <c r="G87" s="163"/>
      <c r="H87" s="163"/>
      <c r="I87" s="163"/>
      <c r="J87" s="164"/>
    </row>
    <row r="88" spans="1:10" s="171" customFormat="1" ht="18.75">
      <c r="A88" s="159" t="s">
        <v>562</v>
      </c>
      <c r="B88" s="183">
        <v>382</v>
      </c>
      <c r="C88" s="161"/>
      <c r="D88" s="161"/>
      <c r="E88" s="163">
        <f t="shared" si="3"/>
        <v>-310.02</v>
      </c>
      <c r="F88" s="163"/>
      <c r="G88" s="163"/>
      <c r="H88" s="163">
        <v>-310.02</v>
      </c>
      <c r="I88" s="163">
        <v>0</v>
      </c>
      <c r="J88" s="164"/>
    </row>
    <row r="89" spans="1:10" s="171" customFormat="1" ht="37.5">
      <c r="A89" s="159" t="s">
        <v>563</v>
      </c>
      <c r="B89" s="182">
        <v>383</v>
      </c>
      <c r="C89" s="161"/>
      <c r="D89" s="161"/>
      <c r="E89" s="163">
        <f t="shared" si="3"/>
        <v>0</v>
      </c>
      <c r="F89" s="163"/>
      <c r="G89" s="163"/>
      <c r="H89" s="163"/>
      <c r="I89" s="163"/>
      <c r="J89" s="164"/>
    </row>
    <row r="90" spans="1:10" s="171" customFormat="1" ht="18.75">
      <c r="A90" s="159" t="s">
        <v>564</v>
      </c>
      <c r="B90" s="183">
        <v>384</v>
      </c>
      <c r="C90" s="161"/>
      <c r="D90" s="161"/>
      <c r="E90" s="163">
        <f t="shared" si="3"/>
        <v>0</v>
      </c>
      <c r="F90" s="163"/>
      <c r="G90" s="163"/>
      <c r="H90" s="163"/>
      <c r="I90" s="163"/>
      <c r="J90" s="164"/>
    </row>
    <row r="91" spans="1:10" s="171" customFormat="1" ht="37.5">
      <c r="A91" s="159" t="s">
        <v>565</v>
      </c>
      <c r="B91" s="183">
        <v>385</v>
      </c>
      <c r="C91" s="161"/>
      <c r="D91" s="161"/>
      <c r="E91" s="163">
        <f t="shared" si="3"/>
        <v>0</v>
      </c>
      <c r="F91" s="163"/>
      <c r="G91" s="163"/>
      <c r="H91" s="163"/>
      <c r="I91" s="163"/>
      <c r="J91" s="164"/>
    </row>
    <row r="92" spans="1:10" s="171" customFormat="1" ht="18.75">
      <c r="A92" s="159" t="s">
        <v>566</v>
      </c>
      <c r="B92" s="182">
        <v>386</v>
      </c>
      <c r="C92" s="161"/>
      <c r="D92" s="161"/>
      <c r="E92" s="163">
        <f t="shared" si="3"/>
        <v>0</v>
      </c>
      <c r="F92" s="163"/>
      <c r="G92" s="163"/>
      <c r="H92" s="163"/>
      <c r="I92" s="163"/>
      <c r="J92" s="164"/>
    </row>
    <row r="93" spans="1:10" s="171" customFormat="1" ht="18.75">
      <c r="A93" s="442" t="s">
        <v>567</v>
      </c>
      <c r="B93" s="439"/>
      <c r="C93" s="439"/>
      <c r="D93" s="439"/>
      <c r="E93" s="439"/>
      <c r="F93" s="439"/>
      <c r="G93" s="439"/>
      <c r="H93" s="439"/>
      <c r="I93" s="440"/>
      <c r="J93" s="164"/>
    </row>
    <row r="94" spans="1:10" s="171" customFormat="1" ht="37.5">
      <c r="A94" s="159" t="s">
        <v>568</v>
      </c>
      <c r="B94" s="184">
        <v>390</v>
      </c>
      <c r="C94" s="169">
        <f>SUM(C95:C98)</f>
        <v>0</v>
      </c>
      <c r="D94" s="169">
        <f>SUM(D95:D98)</f>
        <v>0</v>
      </c>
      <c r="E94" s="170">
        <f aca="true" t="shared" si="4" ref="E94:E103">SUM(F94:I94)</f>
        <v>0</v>
      </c>
      <c r="F94" s="170">
        <f>SUM(F95:F98)</f>
        <v>0</v>
      </c>
      <c r="G94" s="170">
        <f>SUM(G95:G98)</f>
        <v>0</v>
      </c>
      <c r="H94" s="170">
        <f>SUM(H95:H98)</f>
        <v>0</v>
      </c>
      <c r="I94" s="170">
        <f>SUM(I95:I98)</f>
        <v>0</v>
      </c>
      <c r="J94" s="164"/>
    </row>
    <row r="95" spans="1:10" s="171" customFormat="1" ht="18.75">
      <c r="A95" s="165" t="s">
        <v>569</v>
      </c>
      <c r="B95" s="185">
        <v>391</v>
      </c>
      <c r="C95" s="161"/>
      <c r="D95" s="161"/>
      <c r="E95" s="163">
        <f t="shared" si="4"/>
        <v>0</v>
      </c>
      <c r="F95" s="163"/>
      <c r="G95" s="163"/>
      <c r="H95" s="163"/>
      <c r="I95" s="163"/>
      <c r="J95" s="164"/>
    </row>
    <row r="96" spans="1:10" s="171" customFormat="1" ht="18.75">
      <c r="A96" s="165" t="s">
        <v>570</v>
      </c>
      <c r="B96" s="185">
        <v>392</v>
      </c>
      <c r="C96" s="161"/>
      <c r="D96" s="161"/>
      <c r="E96" s="163">
        <f t="shared" si="4"/>
        <v>0</v>
      </c>
      <c r="F96" s="163"/>
      <c r="G96" s="163"/>
      <c r="H96" s="163"/>
      <c r="I96" s="163"/>
      <c r="J96" s="164"/>
    </row>
    <row r="97" spans="1:10" s="171" customFormat="1" ht="18.75">
      <c r="A97" s="165" t="s">
        <v>571</v>
      </c>
      <c r="B97" s="185">
        <v>393</v>
      </c>
      <c r="C97" s="161"/>
      <c r="D97" s="161"/>
      <c r="E97" s="163">
        <f t="shared" si="4"/>
        <v>0</v>
      </c>
      <c r="F97" s="163"/>
      <c r="G97" s="163"/>
      <c r="H97" s="163"/>
      <c r="I97" s="163"/>
      <c r="J97" s="164"/>
    </row>
    <row r="98" spans="1:10" s="171" customFormat="1" ht="18.75">
      <c r="A98" s="159" t="s">
        <v>572</v>
      </c>
      <c r="B98" s="184">
        <v>400</v>
      </c>
      <c r="C98" s="161"/>
      <c r="D98" s="161"/>
      <c r="E98" s="163">
        <f t="shared" si="4"/>
        <v>0</v>
      </c>
      <c r="F98" s="163"/>
      <c r="G98" s="163"/>
      <c r="H98" s="163"/>
      <c r="I98" s="163"/>
      <c r="J98" s="164"/>
    </row>
    <row r="99" spans="1:10" s="171" customFormat="1" ht="37.5">
      <c r="A99" s="159" t="s">
        <v>573</v>
      </c>
      <c r="B99" s="184">
        <v>410</v>
      </c>
      <c r="C99" s="169">
        <f>SUM(C100:C103)</f>
        <v>0</v>
      </c>
      <c r="D99" s="169">
        <f>SUM(D100:D103)</f>
        <v>0</v>
      </c>
      <c r="E99" s="170">
        <f t="shared" si="4"/>
        <v>0</v>
      </c>
      <c r="F99" s="170">
        <f>SUM(F100:F103)</f>
        <v>0</v>
      </c>
      <c r="G99" s="170">
        <f>SUM(G100:G103)</f>
        <v>0</v>
      </c>
      <c r="H99" s="170">
        <f>SUM(H100:H103)</f>
        <v>0</v>
      </c>
      <c r="I99" s="170">
        <f>SUM(I100:I103)</f>
        <v>0</v>
      </c>
      <c r="J99" s="164"/>
    </row>
    <row r="100" spans="1:10" s="171" customFormat="1" ht="18.75">
      <c r="A100" s="165" t="s">
        <v>569</v>
      </c>
      <c r="B100" s="185">
        <v>411</v>
      </c>
      <c r="C100" s="161"/>
      <c r="D100" s="161"/>
      <c r="E100" s="163">
        <f t="shared" si="4"/>
        <v>0</v>
      </c>
      <c r="F100" s="163"/>
      <c r="G100" s="163"/>
      <c r="H100" s="163"/>
      <c r="I100" s="163"/>
      <c r="J100" s="164"/>
    </row>
    <row r="101" spans="1:10" s="171" customFormat="1" ht="18.75">
      <c r="A101" s="165" t="s">
        <v>570</v>
      </c>
      <c r="B101" s="185">
        <v>412</v>
      </c>
      <c r="C101" s="161"/>
      <c r="D101" s="161"/>
      <c r="E101" s="163">
        <f t="shared" si="4"/>
        <v>0</v>
      </c>
      <c r="F101" s="163"/>
      <c r="G101" s="163"/>
      <c r="H101" s="163"/>
      <c r="I101" s="163"/>
      <c r="J101" s="164"/>
    </row>
    <row r="102" spans="1:10" s="171" customFormat="1" ht="18.75">
      <c r="A102" s="165" t="s">
        <v>571</v>
      </c>
      <c r="B102" s="185">
        <v>413</v>
      </c>
      <c r="C102" s="161"/>
      <c r="D102" s="161"/>
      <c r="E102" s="163">
        <f t="shared" si="4"/>
        <v>0</v>
      </c>
      <c r="F102" s="163"/>
      <c r="G102" s="163"/>
      <c r="H102" s="163"/>
      <c r="I102" s="163"/>
      <c r="J102" s="164"/>
    </row>
    <row r="103" spans="1:10" s="171" customFormat="1" ht="18.75">
      <c r="A103" s="159" t="s">
        <v>536</v>
      </c>
      <c r="B103" s="184">
        <v>420</v>
      </c>
      <c r="C103" s="161"/>
      <c r="D103" s="161"/>
      <c r="E103" s="163">
        <f t="shared" si="4"/>
        <v>0</v>
      </c>
      <c r="F103" s="163"/>
      <c r="G103" s="163"/>
      <c r="H103" s="163"/>
      <c r="I103" s="163"/>
      <c r="J103" s="164"/>
    </row>
    <row r="104" spans="1:10" ht="18.75">
      <c r="A104" s="157" t="s">
        <v>574</v>
      </c>
      <c r="B104" s="186">
        <v>500</v>
      </c>
      <c r="C104" s="187">
        <f>SUM(C35+C36+C37+C72+C84+C94)</f>
        <v>0</v>
      </c>
      <c r="D104" s="187">
        <f>SUM(D35+D36+D37+D72+D84+D94)</f>
        <v>0</v>
      </c>
      <c r="E104" s="188">
        <f>SUM(F104:I104)</f>
        <v>12297.28541</v>
      </c>
      <c r="F104" s="188">
        <f>F35+F36+F37+F72+F84+F94</f>
        <v>0</v>
      </c>
      <c r="G104" s="188">
        <f>G35+G36+G37+G72+G84+G94</f>
        <v>0</v>
      </c>
      <c r="H104" s="188">
        <f>H35+H36+H37</f>
        <v>7304.625410000001</v>
      </c>
      <c r="I104" s="188">
        <f>I35+I36+I37</f>
        <v>4992.66</v>
      </c>
      <c r="J104" s="164"/>
    </row>
    <row r="105" spans="1:10" ht="18.75">
      <c r="A105" s="157" t="s">
        <v>575</v>
      </c>
      <c r="B105" s="186">
        <v>600</v>
      </c>
      <c r="C105" s="187">
        <f>C42+C45+C46+C52+C53+C56+C58+C59+C60+C86+C99</f>
        <v>0</v>
      </c>
      <c r="D105" s="187">
        <f>D42+D45+D46+D52+D53+D56+D58+D59+D60+D86+D99</f>
        <v>0</v>
      </c>
      <c r="E105" s="188">
        <f>SUM(F105:I105)</f>
        <v>-12297.280000000002</v>
      </c>
      <c r="F105" s="187">
        <f>F42+F45+F46+F52+F53+F56+F58+F59+F60+F86+F99</f>
        <v>0</v>
      </c>
      <c r="G105" s="187">
        <f>G42+G45+G46+G52+G53+G56+G58+G59+G60+G86+G99</f>
        <v>0</v>
      </c>
      <c r="H105" s="188">
        <f>H82+H86-0.1</f>
        <v>-7304.610000000001</v>
      </c>
      <c r="I105" s="188">
        <f>I82+I86</f>
        <v>-4992.670000000001</v>
      </c>
      <c r="J105" s="164"/>
    </row>
    <row r="106" spans="1:10" ht="18.75">
      <c r="A106" s="159" t="s">
        <v>576</v>
      </c>
      <c r="B106" s="160">
        <v>650</v>
      </c>
      <c r="C106" s="161"/>
      <c r="D106" s="161"/>
      <c r="E106" s="162">
        <f>SUM(F106:I106)</f>
        <v>0.005409999998846615</v>
      </c>
      <c r="F106" s="163"/>
      <c r="G106" s="163"/>
      <c r="H106" s="163">
        <f>H104+H105</f>
        <v>0.015409999999974389</v>
      </c>
      <c r="I106" s="163">
        <f>I104+I105</f>
        <v>-0.010000000001127773</v>
      </c>
      <c r="J106" s="164"/>
    </row>
    <row r="107" spans="1:10" ht="37.5">
      <c r="A107" s="442" t="s">
        <v>577</v>
      </c>
      <c r="B107" s="439"/>
      <c r="C107" s="178"/>
      <c r="D107" s="178"/>
      <c r="E107" s="189" t="s">
        <v>578</v>
      </c>
      <c r="F107" s="189" t="s">
        <v>579</v>
      </c>
      <c r="G107" s="189" t="s">
        <v>580</v>
      </c>
      <c r="H107" s="189" t="s">
        <v>581</v>
      </c>
      <c r="I107" s="189" t="s">
        <v>582</v>
      </c>
      <c r="J107" s="190"/>
    </row>
    <row r="108" spans="1:10" ht="18.75">
      <c r="A108" s="159" t="s">
        <v>583</v>
      </c>
      <c r="B108" s="160">
        <v>700</v>
      </c>
      <c r="C108" s="161"/>
      <c r="D108" s="161"/>
      <c r="E108" s="161"/>
      <c r="F108" s="161"/>
      <c r="G108" s="163">
        <v>207</v>
      </c>
      <c r="H108" s="163">
        <v>207</v>
      </c>
      <c r="I108" s="163">
        <v>207</v>
      </c>
      <c r="J108" s="190"/>
    </row>
    <row r="109" spans="1:10" ht="18.75">
      <c r="A109" s="159" t="s">
        <v>584</v>
      </c>
      <c r="B109" s="160">
        <v>710</v>
      </c>
      <c r="C109" s="161"/>
      <c r="D109" s="161"/>
      <c r="E109" s="161"/>
      <c r="F109" s="161"/>
      <c r="G109" s="161">
        <v>5451.57</v>
      </c>
      <c r="H109" s="161">
        <v>5451.57</v>
      </c>
      <c r="I109" s="161">
        <f>H109</f>
        <v>5451.57</v>
      </c>
      <c r="J109" s="190"/>
    </row>
    <row r="110" spans="1:10" ht="18.75">
      <c r="A110" s="159" t="s">
        <v>585</v>
      </c>
      <c r="B110" s="160">
        <v>720</v>
      </c>
      <c r="C110" s="161"/>
      <c r="D110" s="161"/>
      <c r="E110" s="161"/>
      <c r="F110" s="161"/>
      <c r="G110" s="161"/>
      <c r="H110" s="161">
        <v>0</v>
      </c>
      <c r="I110" s="161">
        <v>0</v>
      </c>
      <c r="J110" s="190"/>
    </row>
    <row r="111" spans="1:10" ht="37.5">
      <c r="A111" s="159" t="s">
        <v>586</v>
      </c>
      <c r="B111" s="160">
        <v>730</v>
      </c>
      <c r="C111" s="161"/>
      <c r="D111" s="161"/>
      <c r="E111" s="161"/>
      <c r="F111" s="161"/>
      <c r="G111" s="161"/>
      <c r="H111" s="161">
        <v>0</v>
      </c>
      <c r="I111" s="161">
        <v>0</v>
      </c>
      <c r="J111" s="190"/>
    </row>
    <row r="112" spans="1:10" ht="18.75">
      <c r="A112" s="143"/>
      <c r="B112" s="191"/>
      <c r="C112" s="192"/>
      <c r="D112" s="192"/>
      <c r="E112" s="192"/>
      <c r="F112" s="192"/>
      <c r="G112" s="192"/>
      <c r="H112" s="192"/>
      <c r="I112" s="192"/>
      <c r="J112" s="190"/>
    </row>
    <row r="113" spans="1:9" ht="18.75">
      <c r="A113" s="143"/>
      <c r="C113" s="193"/>
      <c r="D113" s="194"/>
      <c r="E113" s="194"/>
      <c r="F113" s="194"/>
      <c r="G113" s="194"/>
      <c r="H113" s="194"/>
      <c r="I113" s="194"/>
    </row>
    <row r="114" spans="1:9" ht="18.75">
      <c r="A114" s="195" t="s">
        <v>587</v>
      </c>
      <c r="B114" s="191"/>
      <c r="C114" s="433" t="s">
        <v>588</v>
      </c>
      <c r="D114" s="433"/>
      <c r="E114" s="433"/>
      <c r="F114" s="196"/>
      <c r="G114" s="434" t="s">
        <v>589</v>
      </c>
      <c r="H114" s="434"/>
      <c r="I114" s="434"/>
    </row>
    <row r="115" spans="1:9" s="200" customFormat="1" ht="12.75">
      <c r="A115" s="197" t="s">
        <v>590</v>
      </c>
      <c r="B115" s="198"/>
      <c r="C115" s="435" t="s">
        <v>591</v>
      </c>
      <c r="D115" s="435"/>
      <c r="E115" s="435"/>
      <c r="F115" s="199"/>
      <c r="G115" s="436" t="s">
        <v>592</v>
      </c>
      <c r="H115" s="436"/>
      <c r="I115" s="436"/>
    </row>
    <row r="116" spans="1:9" ht="18.75">
      <c r="A116" s="143"/>
      <c r="C116" s="193"/>
      <c r="D116" s="194"/>
      <c r="E116" s="194"/>
      <c r="F116" s="194"/>
      <c r="G116" s="194"/>
      <c r="H116" s="194"/>
      <c r="I116" s="194"/>
    </row>
    <row r="117" spans="1:9" ht="18.75">
      <c r="A117" s="143"/>
      <c r="C117" s="193"/>
      <c r="D117" s="194"/>
      <c r="E117" s="194"/>
      <c r="F117" s="194"/>
      <c r="G117" s="194"/>
      <c r="H117" s="194"/>
      <c r="I117" s="194"/>
    </row>
    <row r="118" spans="1:9" ht="18.75">
      <c r="A118" s="143"/>
      <c r="C118" s="193"/>
      <c r="D118" s="194"/>
      <c r="E118" s="194"/>
      <c r="F118" s="194"/>
      <c r="G118" s="194"/>
      <c r="H118" s="194"/>
      <c r="I118" s="194"/>
    </row>
    <row r="119" spans="1:9" ht="18.75">
      <c r="A119" s="143"/>
      <c r="C119" s="193"/>
      <c r="D119" s="194"/>
      <c r="E119" s="194"/>
      <c r="F119" s="194"/>
      <c r="G119" s="194"/>
      <c r="H119" s="194"/>
      <c r="I119" s="194"/>
    </row>
    <row r="120" spans="1:9" ht="18.75">
      <c r="A120" s="143"/>
      <c r="C120" s="193"/>
      <c r="D120" s="194"/>
      <c r="E120" s="194"/>
      <c r="F120" s="194"/>
      <c r="G120" s="194"/>
      <c r="H120" s="194"/>
      <c r="I120" s="194"/>
    </row>
    <row r="121" spans="1:9" ht="18.75">
      <c r="A121" s="143"/>
      <c r="C121" s="193"/>
      <c r="D121" s="194"/>
      <c r="E121" s="194"/>
      <c r="F121" s="194"/>
      <c r="G121" s="194"/>
      <c r="H121" s="194"/>
      <c r="I121" s="194"/>
    </row>
    <row r="122" spans="1:9" ht="18.75">
      <c r="A122" s="143"/>
      <c r="C122" s="193"/>
      <c r="D122" s="194"/>
      <c r="E122" s="194"/>
      <c r="F122" s="194"/>
      <c r="G122" s="194"/>
      <c r="H122" s="194"/>
      <c r="I122" s="194"/>
    </row>
    <row r="123" spans="1:9" ht="18.75">
      <c r="A123" s="143"/>
      <c r="C123" s="193"/>
      <c r="D123" s="194"/>
      <c r="E123" s="194"/>
      <c r="F123" s="194"/>
      <c r="G123" s="194"/>
      <c r="H123" s="194"/>
      <c r="I123" s="194"/>
    </row>
    <row r="124" spans="1:9" ht="18.75">
      <c r="A124" s="143"/>
      <c r="C124" s="193"/>
      <c r="D124" s="194"/>
      <c r="E124" s="194"/>
      <c r="F124" s="194"/>
      <c r="G124" s="194"/>
      <c r="H124" s="194"/>
      <c r="I124" s="194"/>
    </row>
    <row r="125" spans="1:9" ht="18.75">
      <c r="A125" s="143"/>
      <c r="C125" s="193"/>
      <c r="D125" s="194"/>
      <c r="E125" s="194"/>
      <c r="F125" s="194"/>
      <c r="G125" s="194"/>
      <c r="H125" s="194"/>
      <c r="I125" s="194"/>
    </row>
    <row r="126" spans="1:9" ht="18.75">
      <c r="A126" s="143"/>
      <c r="C126" s="193"/>
      <c r="D126" s="194"/>
      <c r="E126" s="194"/>
      <c r="F126" s="194"/>
      <c r="G126" s="194"/>
      <c r="H126" s="194"/>
      <c r="I126" s="194"/>
    </row>
    <row r="127" spans="1:9" ht="18.75">
      <c r="A127" s="143"/>
      <c r="C127" s="193"/>
      <c r="D127" s="194"/>
      <c r="E127" s="194"/>
      <c r="F127" s="194"/>
      <c r="G127" s="194"/>
      <c r="H127" s="194"/>
      <c r="I127" s="194"/>
    </row>
    <row r="128" spans="1:9" ht="18.75">
      <c r="A128" s="143"/>
      <c r="C128" s="193"/>
      <c r="D128" s="194"/>
      <c r="E128" s="194"/>
      <c r="F128" s="194"/>
      <c r="G128" s="194"/>
      <c r="H128" s="194"/>
      <c r="I128" s="194"/>
    </row>
    <row r="129" spans="1:9" ht="18.75">
      <c r="A129" s="143"/>
      <c r="C129" s="193"/>
      <c r="D129" s="194"/>
      <c r="E129" s="194"/>
      <c r="F129" s="194"/>
      <c r="G129" s="194"/>
      <c r="H129" s="194"/>
      <c r="I129" s="194"/>
    </row>
    <row r="130" spans="1:9" ht="18.75">
      <c r="A130" s="143"/>
      <c r="C130" s="193"/>
      <c r="D130" s="194"/>
      <c r="E130" s="194"/>
      <c r="F130" s="194"/>
      <c r="G130" s="194"/>
      <c r="H130" s="194"/>
      <c r="I130" s="194"/>
    </row>
    <row r="131" spans="1:9" ht="18.75">
      <c r="A131" s="143"/>
      <c r="C131" s="193"/>
      <c r="D131" s="194"/>
      <c r="E131" s="194"/>
      <c r="F131" s="194"/>
      <c r="G131" s="194"/>
      <c r="H131" s="194"/>
      <c r="I131" s="194"/>
    </row>
    <row r="132" spans="1:9" ht="18.75">
      <c r="A132" s="143"/>
      <c r="C132" s="193"/>
      <c r="D132" s="194"/>
      <c r="E132" s="194"/>
      <c r="F132" s="194"/>
      <c r="G132" s="194"/>
      <c r="H132" s="194"/>
      <c r="I132" s="194"/>
    </row>
    <row r="133" spans="1:9" ht="18.75">
      <c r="A133" s="143"/>
      <c r="C133" s="193"/>
      <c r="D133" s="194"/>
      <c r="E133" s="194"/>
      <c r="F133" s="194"/>
      <c r="G133" s="194"/>
      <c r="H133" s="194"/>
      <c r="I133" s="194"/>
    </row>
    <row r="134" spans="1:9" ht="18.75">
      <c r="A134" s="143"/>
      <c r="C134" s="193"/>
      <c r="D134" s="194"/>
      <c r="E134" s="194"/>
      <c r="F134" s="194"/>
      <c r="G134" s="194"/>
      <c r="H134" s="194"/>
      <c r="I134" s="194"/>
    </row>
    <row r="135" spans="1:9" ht="18.75">
      <c r="A135" s="143"/>
      <c r="C135" s="193"/>
      <c r="D135" s="194"/>
      <c r="E135" s="194"/>
      <c r="F135" s="194"/>
      <c r="G135" s="194"/>
      <c r="H135" s="194"/>
      <c r="I135" s="194"/>
    </row>
    <row r="136" spans="1:9" ht="18.75">
      <c r="A136" s="143"/>
      <c r="C136" s="193"/>
      <c r="D136" s="194"/>
      <c r="E136" s="194"/>
      <c r="F136" s="194"/>
      <c r="G136" s="194"/>
      <c r="H136" s="194"/>
      <c r="I136" s="194"/>
    </row>
    <row r="137" spans="1:9" ht="18.75">
      <c r="A137" s="143"/>
      <c r="C137" s="193"/>
      <c r="D137" s="194"/>
      <c r="E137" s="194"/>
      <c r="F137" s="194"/>
      <c r="G137" s="194"/>
      <c r="H137" s="194"/>
      <c r="I137" s="194"/>
    </row>
    <row r="138" spans="1:9" ht="18.75">
      <c r="A138" s="143"/>
      <c r="C138" s="193"/>
      <c r="D138" s="194"/>
      <c r="E138" s="194"/>
      <c r="F138" s="194"/>
      <c r="G138" s="194"/>
      <c r="H138" s="194"/>
      <c r="I138" s="194"/>
    </row>
    <row r="139" spans="1:9" ht="18.75">
      <c r="A139" s="143"/>
      <c r="C139" s="193"/>
      <c r="D139" s="194"/>
      <c r="E139" s="194"/>
      <c r="F139" s="194"/>
      <c r="G139" s="194"/>
      <c r="H139" s="194"/>
      <c r="I139" s="194"/>
    </row>
    <row r="140" spans="1:9" ht="18.75">
      <c r="A140" s="143"/>
      <c r="C140" s="193"/>
      <c r="D140" s="194"/>
      <c r="E140" s="194"/>
      <c r="F140" s="194"/>
      <c r="G140" s="194"/>
      <c r="H140" s="194"/>
      <c r="I140" s="194"/>
    </row>
    <row r="141" spans="1:9" ht="18.75">
      <c r="A141" s="143"/>
      <c r="C141" s="193"/>
      <c r="D141" s="194"/>
      <c r="E141" s="194"/>
      <c r="F141" s="194"/>
      <c r="G141" s="194"/>
      <c r="H141" s="194"/>
      <c r="I141" s="194"/>
    </row>
    <row r="142" spans="1:9" ht="18.75">
      <c r="A142" s="143"/>
      <c r="C142" s="193"/>
      <c r="D142" s="194"/>
      <c r="E142" s="194"/>
      <c r="F142" s="194"/>
      <c r="G142" s="194"/>
      <c r="H142" s="194"/>
      <c r="I142" s="194"/>
    </row>
    <row r="143" spans="1:9" ht="18.75">
      <c r="A143" s="143"/>
      <c r="C143" s="193"/>
      <c r="D143" s="194"/>
      <c r="E143" s="194"/>
      <c r="F143" s="194"/>
      <c r="G143" s="194"/>
      <c r="H143" s="194"/>
      <c r="I143" s="194"/>
    </row>
    <row r="144" spans="1:9" ht="18.75">
      <c r="A144" s="143"/>
      <c r="C144" s="193"/>
      <c r="D144" s="194"/>
      <c r="E144" s="194"/>
      <c r="F144" s="194"/>
      <c r="G144" s="194"/>
      <c r="H144" s="194"/>
      <c r="I144" s="194"/>
    </row>
    <row r="145" spans="1:9" ht="18.75">
      <c r="A145" s="143"/>
      <c r="C145" s="193"/>
      <c r="D145" s="194"/>
      <c r="E145" s="194"/>
      <c r="F145" s="194"/>
      <c r="G145" s="194"/>
      <c r="H145" s="194"/>
      <c r="I145" s="194"/>
    </row>
    <row r="146" spans="1:9" ht="18.75">
      <c r="A146" s="143"/>
      <c r="C146" s="193"/>
      <c r="D146" s="194"/>
      <c r="E146" s="194"/>
      <c r="F146" s="194"/>
      <c r="G146" s="194"/>
      <c r="H146" s="194"/>
      <c r="I146" s="194"/>
    </row>
    <row r="147" spans="1:9" ht="18.75">
      <c r="A147" s="143"/>
      <c r="C147" s="193"/>
      <c r="D147" s="194"/>
      <c r="E147" s="194"/>
      <c r="F147" s="194"/>
      <c r="G147" s="194"/>
      <c r="H147" s="194"/>
      <c r="I147" s="194"/>
    </row>
    <row r="148" spans="1:9" ht="18.75">
      <c r="A148" s="143"/>
      <c r="C148" s="193"/>
      <c r="D148" s="194"/>
      <c r="E148" s="194"/>
      <c r="F148" s="194"/>
      <c r="G148" s="194"/>
      <c r="H148" s="194"/>
      <c r="I148" s="194"/>
    </row>
    <row r="149" spans="1:9" ht="18.75">
      <c r="A149" s="143"/>
      <c r="C149" s="193"/>
      <c r="D149" s="194"/>
      <c r="E149" s="194"/>
      <c r="F149" s="194"/>
      <c r="G149" s="194"/>
      <c r="H149" s="194"/>
      <c r="I149" s="194"/>
    </row>
    <row r="150" spans="1:9" ht="18.75">
      <c r="A150" s="143"/>
      <c r="C150" s="193"/>
      <c r="D150" s="194"/>
      <c r="E150" s="194"/>
      <c r="F150" s="194"/>
      <c r="G150" s="194"/>
      <c r="H150" s="194"/>
      <c r="I150" s="194"/>
    </row>
    <row r="151" spans="1:9" ht="18.75">
      <c r="A151" s="143"/>
      <c r="C151" s="193"/>
      <c r="D151" s="194"/>
      <c r="E151" s="194"/>
      <c r="F151" s="194"/>
      <c r="G151" s="194"/>
      <c r="H151" s="194"/>
      <c r="I151" s="194"/>
    </row>
    <row r="152" spans="1:9" ht="18.75">
      <c r="A152" s="143"/>
      <c r="C152" s="193"/>
      <c r="D152" s="194"/>
      <c r="E152" s="194"/>
      <c r="F152" s="194"/>
      <c r="G152" s="194"/>
      <c r="H152" s="194"/>
      <c r="I152" s="194"/>
    </row>
    <row r="153" spans="1:9" ht="18.75">
      <c r="A153" s="143"/>
      <c r="C153" s="193"/>
      <c r="D153" s="194"/>
      <c r="E153" s="194"/>
      <c r="F153" s="194"/>
      <c r="G153" s="194"/>
      <c r="H153" s="194"/>
      <c r="I153" s="194"/>
    </row>
    <row r="154" spans="1:9" ht="18.75">
      <c r="A154" s="143"/>
      <c r="C154" s="193"/>
      <c r="D154" s="194"/>
      <c r="E154" s="194"/>
      <c r="F154" s="194"/>
      <c r="G154" s="194"/>
      <c r="H154" s="194"/>
      <c r="I154" s="194"/>
    </row>
    <row r="155" spans="1:9" ht="18.75">
      <c r="A155" s="143"/>
      <c r="C155" s="193"/>
      <c r="D155" s="194"/>
      <c r="E155" s="194"/>
      <c r="F155" s="194"/>
      <c r="G155" s="194"/>
      <c r="H155" s="194"/>
      <c r="I155" s="194"/>
    </row>
    <row r="156" spans="1:9" ht="18.75">
      <c r="A156" s="143"/>
      <c r="C156" s="193"/>
      <c r="D156" s="194"/>
      <c r="E156" s="194"/>
      <c r="F156" s="194"/>
      <c r="G156" s="194"/>
      <c r="H156" s="194"/>
      <c r="I156" s="194"/>
    </row>
    <row r="157" ht="18.75">
      <c r="A157" s="201"/>
    </row>
    <row r="158" ht="18.75">
      <c r="A158" s="201"/>
    </row>
    <row r="159" ht="18.75">
      <c r="A159" s="201"/>
    </row>
    <row r="160" ht="18.75">
      <c r="A160" s="201"/>
    </row>
    <row r="161" ht="18.75">
      <c r="A161" s="201"/>
    </row>
    <row r="162" ht="18.75">
      <c r="A162" s="201"/>
    </row>
    <row r="163" ht="18.75">
      <c r="A163" s="201"/>
    </row>
    <row r="164" ht="18.75">
      <c r="A164" s="201"/>
    </row>
    <row r="165" ht="18.75">
      <c r="A165" s="201"/>
    </row>
    <row r="166" ht="18.75">
      <c r="A166" s="201"/>
    </row>
    <row r="167" ht="18.75">
      <c r="A167" s="201"/>
    </row>
    <row r="168" ht="18.75">
      <c r="A168" s="201"/>
    </row>
    <row r="169" ht="18.75">
      <c r="A169" s="201"/>
    </row>
    <row r="170" ht="18.75">
      <c r="A170" s="201"/>
    </row>
    <row r="171" ht="18.75">
      <c r="A171" s="201"/>
    </row>
    <row r="172" ht="18.75">
      <c r="A172" s="201"/>
    </row>
    <row r="173" ht="18.75">
      <c r="A173" s="201"/>
    </row>
    <row r="174" ht="18.75">
      <c r="A174" s="201"/>
    </row>
    <row r="175" ht="18.75">
      <c r="A175" s="201"/>
    </row>
    <row r="176" ht="18.75">
      <c r="A176" s="201"/>
    </row>
    <row r="177" ht="18.75">
      <c r="A177" s="201"/>
    </row>
    <row r="178" ht="18.75">
      <c r="A178" s="201"/>
    </row>
    <row r="179" ht="18.75">
      <c r="A179" s="201"/>
    </row>
    <row r="180" ht="18.75">
      <c r="A180" s="201"/>
    </row>
    <row r="181" ht="18.75">
      <c r="A181" s="201"/>
    </row>
    <row r="182" ht="18.75">
      <c r="A182" s="201"/>
    </row>
    <row r="183" ht="18.75">
      <c r="A183" s="201"/>
    </row>
    <row r="184" ht="18.75">
      <c r="A184" s="201"/>
    </row>
    <row r="185" ht="18.75">
      <c r="A185" s="201"/>
    </row>
    <row r="186" ht="18.75">
      <c r="A186" s="201"/>
    </row>
    <row r="187" ht="18.75">
      <c r="A187" s="201"/>
    </row>
    <row r="188" ht="18.75">
      <c r="A188" s="201"/>
    </row>
    <row r="189" ht="18.75">
      <c r="A189" s="201"/>
    </row>
    <row r="190" ht="18.75">
      <c r="A190" s="201"/>
    </row>
    <row r="191" ht="18.75">
      <c r="A191" s="201"/>
    </row>
    <row r="192" ht="18.75">
      <c r="A192" s="201"/>
    </row>
    <row r="193" ht="18.75">
      <c r="A193" s="201"/>
    </row>
    <row r="194" ht="18.75">
      <c r="A194" s="201"/>
    </row>
    <row r="195" ht="18.75">
      <c r="A195" s="201"/>
    </row>
    <row r="196" ht="18.75">
      <c r="A196" s="201"/>
    </row>
    <row r="197" ht="18.75">
      <c r="A197" s="201"/>
    </row>
    <row r="198" ht="18.75">
      <c r="A198" s="201"/>
    </row>
    <row r="199" ht="18.75">
      <c r="A199" s="201"/>
    </row>
    <row r="200" ht="18.75">
      <c r="A200" s="201"/>
    </row>
    <row r="201" ht="18.75">
      <c r="A201" s="201"/>
    </row>
    <row r="202" ht="18.75">
      <c r="A202" s="201"/>
    </row>
    <row r="203" ht="18.75">
      <c r="A203" s="201"/>
    </row>
    <row r="204" ht="18.75">
      <c r="A204" s="201"/>
    </row>
    <row r="205" ht="18.75">
      <c r="A205" s="201"/>
    </row>
    <row r="206" ht="18.75">
      <c r="A206" s="201"/>
    </row>
    <row r="207" ht="18.75">
      <c r="A207" s="201"/>
    </row>
    <row r="208" ht="18.75">
      <c r="A208" s="201"/>
    </row>
    <row r="209" ht="18.75">
      <c r="A209" s="201"/>
    </row>
    <row r="210" ht="18.75">
      <c r="A210" s="201"/>
    </row>
    <row r="211" ht="18.75">
      <c r="A211" s="201"/>
    </row>
    <row r="212" ht="18.75">
      <c r="A212" s="201"/>
    </row>
    <row r="213" ht="18.75">
      <c r="A213" s="201"/>
    </row>
    <row r="214" ht="18.75">
      <c r="A214" s="201"/>
    </row>
    <row r="215" ht="18.75">
      <c r="A215" s="201"/>
    </row>
    <row r="216" ht="18.75">
      <c r="A216" s="201"/>
    </row>
    <row r="217" ht="18.75">
      <c r="A217" s="201"/>
    </row>
    <row r="218" ht="18.75">
      <c r="A218" s="201"/>
    </row>
    <row r="219" ht="18.75">
      <c r="A219" s="201"/>
    </row>
    <row r="220" ht="18.75">
      <c r="A220" s="201"/>
    </row>
    <row r="221" ht="18.75">
      <c r="A221" s="201"/>
    </row>
    <row r="222" ht="18.75">
      <c r="A222" s="201"/>
    </row>
    <row r="223" ht="18.75">
      <c r="A223" s="201"/>
    </row>
    <row r="224" ht="18.75">
      <c r="A224" s="201"/>
    </row>
    <row r="225" ht="18.75">
      <c r="A225" s="201"/>
    </row>
    <row r="226" ht="18.75">
      <c r="A226" s="201"/>
    </row>
    <row r="227" ht="18.75">
      <c r="A227" s="201"/>
    </row>
    <row r="228" ht="18.75">
      <c r="A228" s="201"/>
    </row>
    <row r="229" ht="18.75">
      <c r="A229" s="201"/>
    </row>
    <row r="230" ht="18.75">
      <c r="A230" s="201"/>
    </row>
    <row r="231" ht="18.75">
      <c r="A231" s="201"/>
    </row>
    <row r="232" ht="18.75">
      <c r="A232" s="201"/>
    </row>
    <row r="233" ht="18.75">
      <c r="A233" s="201"/>
    </row>
    <row r="234" ht="18.75">
      <c r="A234" s="201"/>
    </row>
    <row r="235" ht="18.75">
      <c r="A235" s="201"/>
    </row>
    <row r="236" ht="18.75">
      <c r="A236" s="201"/>
    </row>
    <row r="237" ht="18.75">
      <c r="A237" s="201"/>
    </row>
    <row r="238" ht="18.75">
      <c r="A238" s="201"/>
    </row>
    <row r="239" ht="18.75">
      <c r="A239" s="201"/>
    </row>
    <row r="240" ht="18.75">
      <c r="A240" s="201"/>
    </row>
    <row r="241" ht="18.75">
      <c r="A241" s="201"/>
    </row>
    <row r="242" ht="18.75">
      <c r="A242" s="201"/>
    </row>
    <row r="243" ht="18.75">
      <c r="A243" s="201"/>
    </row>
    <row r="244" ht="18.75">
      <c r="A244" s="201"/>
    </row>
    <row r="245" ht="18.75">
      <c r="A245" s="201"/>
    </row>
    <row r="246" ht="18.75">
      <c r="A246" s="201"/>
    </row>
    <row r="247" ht="18.75">
      <c r="A247" s="201"/>
    </row>
    <row r="248" ht="18.75">
      <c r="A248" s="201"/>
    </row>
    <row r="249" ht="18.75">
      <c r="A249" s="201"/>
    </row>
    <row r="250" ht="18.75">
      <c r="A250" s="201"/>
    </row>
    <row r="251" ht="18.75">
      <c r="A251" s="201"/>
    </row>
    <row r="252" ht="18.75">
      <c r="A252" s="201"/>
    </row>
    <row r="253" ht="18.75">
      <c r="A253" s="201"/>
    </row>
    <row r="254" ht="18.75">
      <c r="A254" s="201"/>
    </row>
    <row r="255" ht="18.75">
      <c r="A255" s="201"/>
    </row>
    <row r="256" ht="18.75">
      <c r="A256" s="201"/>
    </row>
    <row r="257" ht="18.75">
      <c r="A257" s="201"/>
    </row>
    <row r="258" ht="18.75">
      <c r="A258" s="201"/>
    </row>
    <row r="259" ht="18.75">
      <c r="A259" s="201"/>
    </row>
    <row r="260" ht="18.75">
      <c r="A260" s="201"/>
    </row>
    <row r="261" ht="18.75">
      <c r="A261" s="201"/>
    </row>
    <row r="262" ht="18.75">
      <c r="A262" s="201"/>
    </row>
    <row r="263" ht="18.75">
      <c r="A263" s="201"/>
    </row>
    <row r="264" ht="18.75">
      <c r="A264" s="201"/>
    </row>
    <row r="265" ht="18.75">
      <c r="A265" s="201"/>
    </row>
    <row r="266" ht="18.75">
      <c r="A266" s="201"/>
    </row>
    <row r="267" ht="18.75">
      <c r="A267" s="201"/>
    </row>
    <row r="268" ht="18.75">
      <c r="A268" s="201"/>
    </row>
    <row r="269" ht="18.75">
      <c r="A269" s="201"/>
    </row>
    <row r="270" ht="18.75">
      <c r="A270" s="201"/>
    </row>
    <row r="271" ht="18.75">
      <c r="A271" s="201"/>
    </row>
    <row r="272" ht="18.75">
      <c r="A272" s="201"/>
    </row>
    <row r="273" ht="18.75">
      <c r="A273" s="201"/>
    </row>
    <row r="274" ht="18.75">
      <c r="A274" s="201"/>
    </row>
    <row r="275" ht="18.75">
      <c r="A275" s="201"/>
    </row>
    <row r="276" ht="18.75">
      <c r="A276" s="201"/>
    </row>
    <row r="277" ht="18.75">
      <c r="A277" s="201"/>
    </row>
    <row r="278" ht="18.75">
      <c r="A278" s="201"/>
    </row>
    <row r="279" ht="18.75">
      <c r="A279" s="201"/>
    </row>
    <row r="280" ht="18.75">
      <c r="A280" s="201"/>
    </row>
    <row r="281" ht="18.75">
      <c r="A281" s="201"/>
    </row>
    <row r="282" ht="18.75">
      <c r="A282" s="201"/>
    </row>
    <row r="283" ht="18.75">
      <c r="A283" s="201"/>
    </row>
    <row r="284" ht="18.75">
      <c r="A284" s="201"/>
    </row>
    <row r="285" ht="18.75">
      <c r="A285" s="201"/>
    </row>
    <row r="286" ht="18.75">
      <c r="A286" s="201"/>
    </row>
    <row r="287" ht="18.75">
      <c r="A287" s="201"/>
    </row>
    <row r="288" ht="18.75">
      <c r="A288" s="201"/>
    </row>
    <row r="289" ht="18.75">
      <c r="A289" s="201"/>
    </row>
    <row r="290" ht="18.75">
      <c r="A290" s="201"/>
    </row>
    <row r="291" ht="18.75">
      <c r="A291" s="201"/>
    </row>
    <row r="292" ht="18.75">
      <c r="A292" s="201"/>
    </row>
    <row r="293" ht="18.75">
      <c r="A293" s="201"/>
    </row>
    <row r="294" ht="18.75">
      <c r="A294" s="201"/>
    </row>
    <row r="295" ht="18.75">
      <c r="A295" s="201"/>
    </row>
    <row r="296" ht="18.75">
      <c r="A296" s="201"/>
    </row>
    <row r="297" ht="18.75">
      <c r="A297" s="201"/>
    </row>
    <row r="298" ht="18.75">
      <c r="A298" s="201"/>
    </row>
    <row r="299" ht="18.75">
      <c r="A299" s="201"/>
    </row>
    <row r="300" ht="18.75">
      <c r="A300" s="201"/>
    </row>
    <row r="301" ht="18.75">
      <c r="A301" s="201"/>
    </row>
    <row r="302" ht="18.75">
      <c r="A302" s="201"/>
    </row>
    <row r="303" ht="18.75">
      <c r="A303" s="201"/>
    </row>
    <row r="304" ht="18.75">
      <c r="A304" s="201"/>
    </row>
    <row r="305" ht="18.75">
      <c r="A305" s="201"/>
    </row>
    <row r="306" ht="18.75">
      <c r="A306" s="201"/>
    </row>
    <row r="307" ht="18.75">
      <c r="A307" s="201"/>
    </row>
    <row r="308" ht="18.75">
      <c r="A308" s="201"/>
    </row>
    <row r="309" ht="18.75">
      <c r="A309" s="201"/>
    </row>
    <row r="310" ht="18.75">
      <c r="A310" s="201"/>
    </row>
    <row r="311" ht="18.75">
      <c r="A311" s="201"/>
    </row>
    <row r="312" ht="18.75">
      <c r="A312" s="201"/>
    </row>
    <row r="313" ht="18.75">
      <c r="A313" s="201"/>
    </row>
    <row r="314" ht="18.75">
      <c r="A314" s="201"/>
    </row>
    <row r="315" ht="18.75">
      <c r="A315" s="201"/>
    </row>
    <row r="316" ht="18.75">
      <c r="A316" s="201"/>
    </row>
    <row r="317" ht="18.75">
      <c r="A317" s="201"/>
    </row>
    <row r="318" ht="18.75">
      <c r="A318" s="201"/>
    </row>
    <row r="319" ht="18.75">
      <c r="A319" s="201"/>
    </row>
    <row r="320" ht="18.75">
      <c r="A320" s="201"/>
    </row>
    <row r="321" ht="18.75">
      <c r="A321" s="201"/>
    </row>
    <row r="322" ht="18.75">
      <c r="A322" s="201"/>
    </row>
    <row r="323" ht="18.75">
      <c r="A323" s="201"/>
    </row>
  </sheetData>
  <sheetProtection/>
  <mergeCells count="35">
    <mergeCell ref="G11:H11"/>
    <mergeCell ref="B13:E13"/>
    <mergeCell ref="H13:I13"/>
    <mergeCell ref="B14:F14"/>
    <mergeCell ref="B15:E15"/>
    <mergeCell ref="B16:E16"/>
    <mergeCell ref="B17:E17"/>
    <mergeCell ref="B18:E18"/>
    <mergeCell ref="B19:E19"/>
    <mergeCell ref="B20:E20"/>
    <mergeCell ref="F20:H20"/>
    <mergeCell ref="B21:E21"/>
    <mergeCell ref="F21:H21"/>
    <mergeCell ref="B22:E22"/>
    <mergeCell ref="B23:I23"/>
    <mergeCell ref="B24:E24"/>
    <mergeCell ref="B25:E25"/>
    <mergeCell ref="A27:I27"/>
    <mergeCell ref="A28:I28"/>
    <mergeCell ref="A30:A31"/>
    <mergeCell ref="B30:B31"/>
    <mergeCell ref="C30:C31"/>
    <mergeCell ref="D30:D31"/>
    <mergeCell ref="E30:E31"/>
    <mergeCell ref="F30:I30"/>
    <mergeCell ref="C114:E114"/>
    <mergeCell ref="G114:I114"/>
    <mergeCell ref="C115:E115"/>
    <mergeCell ref="G115:I115"/>
    <mergeCell ref="J30:J31"/>
    <mergeCell ref="A33:I33"/>
    <mergeCell ref="A34:J34"/>
    <mergeCell ref="A76:I76"/>
    <mergeCell ref="A93:I93"/>
    <mergeCell ref="A107:B107"/>
  </mergeCells>
  <printOptions/>
  <pageMargins left="0.7874015748031497" right="0.2362204724409449" top="0.5905511811023623" bottom="0.5905511811023623" header="0.1968503937007874" footer="0.1968503937007874"/>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2019-12-20T21:11:47Z</cp:lastPrinted>
  <dcterms:created xsi:type="dcterms:W3CDTF">2018-04-27T10:18:26Z</dcterms:created>
  <dcterms:modified xsi:type="dcterms:W3CDTF">2020-02-24T15:35:55Z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