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730" windowHeight="11760" tabRatio="881" firstSheet="3" activeTab="3"/>
  </bookViews>
  <sheets>
    <sheet name="Розр. до пояснення 2019" sheetId="16" state="hidden" r:id="rId1"/>
    <sheet name="Покодово 2019" sheetId="14" state="hidden" r:id="rId2"/>
    <sheet name="Фін.план 2019" sheetId="13" state="hidden" r:id="rId3"/>
    <sheet name="Фін.план 2019 (зміни1)" sheetId="17" r:id="rId4"/>
    <sheet name="Фін.план 2019 (зміни2)" sheetId="18" state="hidden" r:id="rId5"/>
  </sheets>
  <calcPr calcId="162913" calcOnSave="0"/>
</workbook>
</file>

<file path=xl/calcChain.xml><?xml version="1.0" encoding="utf-8"?>
<calcChain xmlns="http://schemas.openxmlformats.org/spreadsheetml/2006/main">
  <c r="E18" i="16" l="1"/>
  <c r="E45" i="16"/>
  <c r="E52" i="16"/>
  <c r="E57" i="16"/>
  <c r="E58" i="16"/>
  <c r="E61" i="16" s="1"/>
  <c r="E145" i="16" s="1"/>
  <c r="E147" i="16" s="1"/>
  <c r="E59" i="16"/>
  <c r="E60" i="16"/>
  <c r="E67" i="16"/>
  <c r="E84" i="16"/>
  <c r="E87" i="16" s="1"/>
  <c r="E93" i="16"/>
  <c r="E99" i="16"/>
  <c r="E105" i="16"/>
  <c r="E111" i="16"/>
  <c r="E117" i="16"/>
  <c r="E123" i="16"/>
  <c r="D128" i="16"/>
  <c r="D129" i="16"/>
  <c r="D130" i="16"/>
  <c r="D131" i="16"/>
  <c r="F132" i="16"/>
  <c r="E138" i="16"/>
  <c r="E3" i="14"/>
  <c r="J3" i="14"/>
  <c r="F4" i="14"/>
  <c r="F5" i="14"/>
  <c r="F6" i="14"/>
  <c r="E7" i="14"/>
  <c r="F7" i="14"/>
  <c r="F8" i="14"/>
  <c r="F11" i="14"/>
  <c r="E13" i="14"/>
  <c r="F13" i="14"/>
  <c r="F14" i="14"/>
  <c r="F15" i="14"/>
  <c r="F20" i="14"/>
  <c r="F21" i="14"/>
  <c r="F25" i="14"/>
  <c r="F31" i="14"/>
  <c r="F35" i="14"/>
  <c r="F37" i="14"/>
  <c r="F38" i="14"/>
  <c r="F41" i="14"/>
  <c r="G42" i="14"/>
  <c r="F46" i="14"/>
  <c r="F47" i="14"/>
  <c r="F48" i="14"/>
  <c r="F49" i="14"/>
  <c r="E53" i="14"/>
  <c r="F53" i="14"/>
  <c r="F54" i="14"/>
  <c r="F56" i="14"/>
  <c r="E57" i="14"/>
  <c r="G57" i="14"/>
  <c r="E61" i="14"/>
  <c r="F63" i="14"/>
  <c r="F74" i="14" s="1"/>
  <c r="J63" i="14"/>
  <c r="E64" i="14"/>
  <c r="F65" i="14"/>
  <c r="J65" i="14"/>
  <c r="C67" i="14"/>
  <c r="F67" i="14"/>
  <c r="C68" i="14"/>
  <c r="E68" i="14"/>
  <c r="C69" i="14"/>
  <c r="C70" i="14"/>
  <c r="F70" i="14"/>
  <c r="C72" i="14"/>
  <c r="G74" i="14"/>
  <c r="F77" i="14"/>
  <c r="E81" i="14"/>
  <c r="F81" i="14"/>
  <c r="G85" i="14"/>
  <c r="E86" i="14"/>
  <c r="G88" i="14"/>
  <c r="E89" i="14"/>
  <c r="G89" i="14"/>
  <c r="K89" i="14"/>
  <c r="O94" i="14"/>
  <c r="O95" i="14"/>
  <c r="O96" i="14"/>
  <c r="F105" i="14"/>
  <c r="F112" i="14" s="1"/>
  <c r="J105" i="14"/>
  <c r="K105" i="14" s="1"/>
  <c r="G107" i="14"/>
  <c r="G112" i="14" s="1"/>
  <c r="G108" i="14"/>
  <c r="F109" i="14"/>
  <c r="G109" i="14"/>
  <c r="G110" i="14"/>
  <c r="J110" i="14"/>
  <c r="F111" i="14"/>
  <c r="G111" i="14"/>
  <c r="J111" i="14"/>
  <c r="J112" i="14" s="1"/>
  <c r="G37" i="18"/>
  <c r="F37" i="18" s="1"/>
  <c r="H37" i="18"/>
  <c r="I37" i="18"/>
  <c r="J37" i="18"/>
  <c r="F38" i="18"/>
  <c r="F39" i="18"/>
  <c r="F40" i="18"/>
  <c r="D41" i="18"/>
  <c r="E41" i="18"/>
  <c r="G42" i="18"/>
  <c r="H42" i="18"/>
  <c r="H41" i="18"/>
  <c r="I42" i="18"/>
  <c r="I41" i="18"/>
  <c r="I35" i="18" s="1"/>
  <c r="I104" i="18" s="1"/>
  <c r="I106" i="18" s="1"/>
  <c r="J42" i="18"/>
  <c r="J41" i="18"/>
  <c r="F43" i="18"/>
  <c r="M43" i="18"/>
  <c r="T43" i="18"/>
  <c r="U43" i="18"/>
  <c r="V43" i="18"/>
  <c r="W43" i="18"/>
  <c r="W42" i="18"/>
  <c r="Z43" i="18"/>
  <c r="F44" i="18"/>
  <c r="M44" i="18"/>
  <c r="T44" i="18"/>
  <c r="T42" i="18" s="1"/>
  <c r="U44" i="18"/>
  <c r="V44" i="18"/>
  <c r="V42" i="18"/>
  <c r="V41" i="18" s="1"/>
  <c r="W44" i="18"/>
  <c r="Z44" i="18"/>
  <c r="F45" i="18"/>
  <c r="M45" i="18"/>
  <c r="T45" i="18"/>
  <c r="U45" i="18"/>
  <c r="V45" i="18"/>
  <c r="W45" i="18"/>
  <c r="W77" i="18" s="1"/>
  <c r="Z45" i="18"/>
  <c r="G46" i="18"/>
  <c r="G41" i="18" s="1"/>
  <c r="H46" i="18"/>
  <c r="F46" i="18"/>
  <c r="Z46" i="18" s="1"/>
  <c r="I46" i="18"/>
  <c r="I77" i="18" s="1"/>
  <c r="J46" i="18"/>
  <c r="F47" i="18"/>
  <c r="M47" i="18"/>
  <c r="T47" i="18"/>
  <c r="U47" i="18"/>
  <c r="V47" i="18"/>
  <c r="V46" i="18"/>
  <c r="W47" i="18"/>
  <c r="Z47" i="18"/>
  <c r="F48" i="18"/>
  <c r="M48" i="18"/>
  <c r="T48" i="18"/>
  <c r="U48" i="18"/>
  <c r="V48" i="18"/>
  <c r="W48" i="18"/>
  <c r="W46" i="18"/>
  <c r="Z48" i="18"/>
  <c r="F49" i="18"/>
  <c r="M49" i="18"/>
  <c r="T49" i="18"/>
  <c r="U49" i="18"/>
  <c r="V49" i="18"/>
  <c r="W49" i="18"/>
  <c r="Z49" i="18"/>
  <c r="F50" i="18"/>
  <c r="M50" i="18"/>
  <c r="N50" i="18"/>
  <c r="T50" i="18"/>
  <c r="U50" i="18"/>
  <c r="V50" i="18"/>
  <c r="W50" i="18"/>
  <c r="Z50" i="18"/>
  <c r="F51" i="18"/>
  <c r="M51" i="18"/>
  <c r="T51" i="18"/>
  <c r="U51" i="18"/>
  <c r="V51" i="18"/>
  <c r="W51" i="18"/>
  <c r="Z51" i="18"/>
  <c r="F52" i="18"/>
  <c r="Z52" i="18" s="1"/>
  <c r="O52" i="18"/>
  <c r="M52" i="18"/>
  <c r="Q52" i="18"/>
  <c r="T52" i="18"/>
  <c r="V52" i="18"/>
  <c r="W52" i="18"/>
  <c r="F53" i="18"/>
  <c r="O53" i="18"/>
  <c r="Q53" i="18"/>
  <c r="T53" i="18"/>
  <c r="U53" i="18"/>
  <c r="V53" i="18"/>
  <c r="V79" i="18" s="1"/>
  <c r="Z53" i="18"/>
  <c r="F54" i="18"/>
  <c r="M54" i="18"/>
  <c r="T54" i="18"/>
  <c r="U54" i="18"/>
  <c r="V54" i="18"/>
  <c r="W54" i="18"/>
  <c r="Z54" i="18"/>
  <c r="F55" i="18"/>
  <c r="M55" i="18"/>
  <c r="T55" i="18"/>
  <c r="U55" i="18"/>
  <c r="V55" i="18"/>
  <c r="W55" i="18"/>
  <c r="Z55" i="18"/>
  <c r="F56" i="18"/>
  <c r="Z56" i="18"/>
  <c r="T56" i="18"/>
  <c r="U56" i="18"/>
  <c r="V56" i="18"/>
  <c r="W56" i="18"/>
  <c r="F57" i="18"/>
  <c r="M57" i="18"/>
  <c r="T57" i="18"/>
  <c r="U57" i="18"/>
  <c r="V57" i="18"/>
  <c r="W57" i="18"/>
  <c r="Z57" i="18"/>
  <c r="F58" i="18"/>
  <c r="Z58" i="18" s="1"/>
  <c r="T58" i="18"/>
  <c r="U58" i="18"/>
  <c r="U80" i="18" s="1"/>
  <c r="V58" i="18"/>
  <c r="W58" i="18"/>
  <c r="W80" i="18" s="1"/>
  <c r="F59" i="18"/>
  <c r="Z59" i="18" s="1"/>
  <c r="T59" i="18"/>
  <c r="U59" i="18"/>
  <c r="V59" i="18"/>
  <c r="W59" i="18"/>
  <c r="D60" i="18"/>
  <c r="E60" i="18"/>
  <c r="G60" i="18"/>
  <c r="F60" i="18" s="1"/>
  <c r="Z60" i="18" s="1"/>
  <c r="H60" i="18"/>
  <c r="I60" i="18"/>
  <c r="J60" i="18"/>
  <c r="F61" i="18"/>
  <c r="N61" i="18"/>
  <c r="O61" i="18"/>
  <c r="P61" i="18"/>
  <c r="Q61" i="18"/>
  <c r="T61" i="18"/>
  <c r="W61" i="18"/>
  <c r="Z61" i="18"/>
  <c r="F62" i="18"/>
  <c r="Z62" i="18"/>
  <c r="O62" i="18"/>
  <c r="P62" i="18"/>
  <c r="Q62" i="18"/>
  <c r="M62" i="18" s="1"/>
  <c r="T62" i="18"/>
  <c r="U62" i="18"/>
  <c r="V62" i="18"/>
  <c r="W62" i="18"/>
  <c r="F63" i="18"/>
  <c r="M63" i="18"/>
  <c r="T63" i="18"/>
  <c r="U63" i="18"/>
  <c r="V63" i="18"/>
  <c r="W63" i="18"/>
  <c r="Z63" i="18"/>
  <c r="F64" i="18"/>
  <c r="N64" i="18"/>
  <c r="T64" i="18" s="1"/>
  <c r="O64" i="18"/>
  <c r="P64" i="18"/>
  <c r="Q64" i="18"/>
  <c r="M64" i="18" s="1"/>
  <c r="U64" i="18"/>
  <c r="V64" i="18"/>
  <c r="W64" i="18"/>
  <c r="Z64" i="18"/>
  <c r="F65" i="18"/>
  <c r="Z65" i="18" s="1"/>
  <c r="N65" i="18"/>
  <c r="O65" i="18"/>
  <c r="Q65" i="18"/>
  <c r="U65" i="18"/>
  <c r="U79" i="18" s="1"/>
  <c r="V65" i="18"/>
  <c r="W65" i="18"/>
  <c r="F66" i="18"/>
  <c r="M66" i="18"/>
  <c r="T66" i="18"/>
  <c r="U66" i="18"/>
  <c r="V66" i="18"/>
  <c r="W66" i="18"/>
  <c r="Z66" i="18"/>
  <c r="F67" i="18"/>
  <c r="M67" i="18"/>
  <c r="T67" i="18"/>
  <c r="U67" i="18"/>
  <c r="V67" i="18"/>
  <c r="W67" i="18"/>
  <c r="Z67" i="18"/>
  <c r="F68" i="18"/>
  <c r="M68" i="18"/>
  <c r="T68" i="18"/>
  <c r="U68" i="18"/>
  <c r="V68" i="18"/>
  <c r="W68" i="18"/>
  <c r="Z68" i="18"/>
  <c r="F69" i="18"/>
  <c r="M69" i="18"/>
  <c r="T69" i="18"/>
  <c r="U69" i="18"/>
  <c r="V69" i="18"/>
  <c r="W69" i="18"/>
  <c r="Z69" i="18"/>
  <c r="F70" i="18"/>
  <c r="Z70" i="18"/>
  <c r="T70" i="18"/>
  <c r="U70" i="18"/>
  <c r="V70" i="18"/>
  <c r="W70" i="18"/>
  <c r="F71" i="18"/>
  <c r="M71" i="18"/>
  <c r="T71" i="18"/>
  <c r="U71" i="18"/>
  <c r="V71" i="18"/>
  <c r="W71" i="18"/>
  <c r="Z71" i="18"/>
  <c r="G72" i="18"/>
  <c r="F72" i="18" s="1"/>
  <c r="Z72" i="18" s="1"/>
  <c r="H72" i="18"/>
  <c r="I72" i="18"/>
  <c r="J72" i="18"/>
  <c r="F73" i="18"/>
  <c r="Z73" i="18" s="1"/>
  <c r="T73" i="18"/>
  <c r="T72" i="18"/>
  <c r="U73" i="18"/>
  <c r="V73" i="18"/>
  <c r="V72" i="18"/>
  <c r="W73" i="18"/>
  <c r="F74" i="18"/>
  <c r="Z74" i="18" s="1"/>
  <c r="T74" i="18"/>
  <c r="U74" i="18"/>
  <c r="U72" i="18" s="1"/>
  <c r="V74" i="18"/>
  <c r="W74" i="18"/>
  <c r="W72" i="18" s="1"/>
  <c r="F75" i="18"/>
  <c r="Z75" i="18" s="1"/>
  <c r="M75" i="18"/>
  <c r="T75" i="18"/>
  <c r="U75" i="18"/>
  <c r="V75" i="18"/>
  <c r="W75" i="18"/>
  <c r="T76" i="18"/>
  <c r="U76" i="18"/>
  <c r="V76" i="18"/>
  <c r="W76" i="18"/>
  <c r="Z76" i="18"/>
  <c r="H77" i="18"/>
  <c r="J77" i="18"/>
  <c r="G78" i="18"/>
  <c r="H78" i="18"/>
  <c r="F78" i="18" s="1"/>
  <c r="Z78" i="18" s="1"/>
  <c r="I78" i="18"/>
  <c r="J78" i="18"/>
  <c r="V78" i="18"/>
  <c r="G79" i="18"/>
  <c r="F79" i="18" s="1"/>
  <c r="Z79" i="18" s="1"/>
  <c r="H79" i="18"/>
  <c r="I79" i="18"/>
  <c r="J79" i="18"/>
  <c r="G80" i="18"/>
  <c r="F80" i="18"/>
  <c r="Z80" i="18" s="1"/>
  <c r="H80" i="18"/>
  <c r="I80" i="18"/>
  <c r="J80" i="18"/>
  <c r="T80" i="18"/>
  <c r="V80" i="18"/>
  <c r="G81" i="18"/>
  <c r="H81" i="18"/>
  <c r="F81" i="18" s="1"/>
  <c r="Z81" i="18" s="1"/>
  <c r="I81" i="18"/>
  <c r="J81" i="18"/>
  <c r="I82" i="18"/>
  <c r="N82" i="18"/>
  <c r="H84" i="18"/>
  <c r="I84" i="18"/>
  <c r="J84" i="18"/>
  <c r="G85" i="18"/>
  <c r="G84" i="18"/>
  <c r="F84" i="18" s="1"/>
  <c r="M85" i="18"/>
  <c r="D86" i="18"/>
  <c r="E86" i="18"/>
  <c r="G86" i="18"/>
  <c r="H86" i="18"/>
  <c r="I86" i="18"/>
  <c r="J86" i="18"/>
  <c r="F87" i="18"/>
  <c r="F88" i="18"/>
  <c r="M88" i="18"/>
  <c r="F89" i="18"/>
  <c r="M89" i="18"/>
  <c r="F90" i="18"/>
  <c r="N90" i="18"/>
  <c r="F91" i="18"/>
  <c r="F92" i="18"/>
  <c r="D94" i="18"/>
  <c r="D104" i="18" s="1"/>
  <c r="E94" i="18"/>
  <c r="F95" i="18"/>
  <c r="N95" i="18"/>
  <c r="O95" i="18" s="1"/>
  <c r="G96" i="18"/>
  <c r="H96" i="18"/>
  <c r="H94" i="18" s="1"/>
  <c r="H36" i="18" s="1"/>
  <c r="I96" i="18"/>
  <c r="I94" i="18" s="1"/>
  <c r="J96" i="18"/>
  <c r="J94" i="18" s="1"/>
  <c r="J36" i="18" s="1"/>
  <c r="J35" i="18" s="1"/>
  <c r="J104" i="18" s="1"/>
  <c r="H97" i="18"/>
  <c r="F97" i="18" s="1"/>
  <c r="G98" i="18"/>
  <c r="F98" i="18" s="1"/>
  <c r="H98" i="18"/>
  <c r="I98" i="18"/>
  <c r="J98" i="18"/>
  <c r="D99" i="18"/>
  <c r="E99" i="18"/>
  <c r="G99" i="18"/>
  <c r="H99" i="18"/>
  <c r="I99" i="18"/>
  <c r="J99" i="18"/>
  <c r="F100" i="18"/>
  <c r="F101" i="18"/>
  <c r="F102" i="18"/>
  <c r="F103" i="18"/>
  <c r="E104" i="18"/>
  <c r="O104" i="18"/>
  <c r="N91" i="18"/>
  <c r="N92" i="18" s="1"/>
  <c r="Q104" i="18"/>
  <c r="D105" i="18"/>
  <c r="S105" i="18"/>
  <c r="O107" i="18"/>
  <c r="Q107" i="18"/>
  <c r="S108" i="18" s="1"/>
  <c r="S116" i="18" s="1"/>
  <c r="J109" i="18"/>
  <c r="O110" i="18"/>
  <c r="P91" i="18" s="1"/>
  <c r="Q110" i="18"/>
  <c r="S111" i="18"/>
  <c r="O113" i="18"/>
  <c r="Q91" i="18"/>
  <c r="Q113" i="18"/>
  <c r="S114" i="18" s="1"/>
  <c r="N116" i="18"/>
  <c r="P116" i="18"/>
  <c r="N119" i="18"/>
  <c r="R116" i="18"/>
  <c r="K35" i="17"/>
  <c r="R35" i="17"/>
  <c r="S35" i="17"/>
  <c r="K36" i="17"/>
  <c r="R36" i="17"/>
  <c r="R37" i="17"/>
  <c r="S37" i="17"/>
  <c r="K38" i="17"/>
  <c r="R38" i="17"/>
  <c r="S38" i="17"/>
  <c r="K39" i="17"/>
  <c r="R39" i="17"/>
  <c r="S39" i="17"/>
  <c r="K40" i="17"/>
  <c r="K41" i="17"/>
  <c r="K42" i="17"/>
  <c r="R42" i="17"/>
  <c r="S42" i="17"/>
  <c r="K44" i="17"/>
  <c r="E44" i="17"/>
  <c r="K46" i="17"/>
  <c r="K48" i="17"/>
  <c r="K49" i="17"/>
  <c r="K50" i="17"/>
  <c r="K51" i="17"/>
  <c r="K52" i="17"/>
  <c r="K54" i="17"/>
  <c r="R54" i="17"/>
  <c r="S54" i="17"/>
  <c r="K58" i="17"/>
  <c r="K68" i="17"/>
  <c r="D58" i="17"/>
  <c r="E61" i="17"/>
  <c r="E62" i="17"/>
  <c r="E63" i="17"/>
  <c r="E64" i="17"/>
  <c r="D66" i="17"/>
  <c r="E66" i="17"/>
  <c r="D71" i="17"/>
  <c r="E71" i="17"/>
  <c r="G37" i="13"/>
  <c r="H37" i="13"/>
  <c r="I37" i="13"/>
  <c r="F37" i="13" s="1"/>
  <c r="J37" i="13"/>
  <c r="F38" i="13"/>
  <c r="F39" i="13"/>
  <c r="F40" i="13"/>
  <c r="D41" i="13"/>
  <c r="E41" i="13"/>
  <c r="G42" i="13"/>
  <c r="G41" i="13" s="1"/>
  <c r="G35" i="13" s="1"/>
  <c r="H42" i="13"/>
  <c r="F42" i="13" s="1"/>
  <c r="I42" i="13"/>
  <c r="J42" i="13"/>
  <c r="J41" i="13"/>
  <c r="F43" i="13"/>
  <c r="M43" i="13"/>
  <c r="T43" i="13"/>
  <c r="U43" i="13"/>
  <c r="F44" i="13"/>
  <c r="T44" i="13"/>
  <c r="U44" i="13"/>
  <c r="F45" i="13"/>
  <c r="T45" i="13"/>
  <c r="G46" i="13"/>
  <c r="H46" i="13"/>
  <c r="F46" i="13" s="1"/>
  <c r="I46" i="13"/>
  <c r="J46" i="13"/>
  <c r="T46" i="13"/>
  <c r="U46" i="13"/>
  <c r="F47" i="13"/>
  <c r="T47" i="13"/>
  <c r="U47" i="13"/>
  <c r="F48" i="13"/>
  <c r="T48" i="13"/>
  <c r="U48" i="13"/>
  <c r="F49" i="13"/>
  <c r="F50" i="13"/>
  <c r="T50" i="13"/>
  <c r="U50" i="13"/>
  <c r="F51" i="13"/>
  <c r="T51" i="13"/>
  <c r="U51" i="13"/>
  <c r="F52" i="13"/>
  <c r="F53" i="13"/>
  <c r="F54" i="13"/>
  <c r="T54" i="13"/>
  <c r="U54" i="13"/>
  <c r="F55" i="13"/>
  <c r="T55" i="13"/>
  <c r="U55" i="13"/>
  <c r="F56" i="13"/>
  <c r="F57" i="13"/>
  <c r="F58" i="13"/>
  <c r="F59" i="13"/>
  <c r="D60" i="13"/>
  <c r="E60" i="13"/>
  <c r="G60" i="13"/>
  <c r="H60" i="13"/>
  <c r="I60" i="13"/>
  <c r="J60" i="13"/>
  <c r="F61" i="13"/>
  <c r="F62" i="13"/>
  <c r="F63" i="13"/>
  <c r="F64" i="13"/>
  <c r="F65" i="13"/>
  <c r="F66" i="13"/>
  <c r="F67" i="13"/>
  <c r="F68" i="13"/>
  <c r="F69" i="13"/>
  <c r="F70" i="13"/>
  <c r="F71" i="13"/>
  <c r="T71" i="13"/>
  <c r="U71" i="13"/>
  <c r="G72" i="13"/>
  <c r="H72" i="13"/>
  <c r="F72" i="13" s="1"/>
  <c r="I72" i="13"/>
  <c r="J72" i="13"/>
  <c r="F73" i="13"/>
  <c r="F74" i="13"/>
  <c r="F75" i="13"/>
  <c r="G77" i="13"/>
  <c r="I77" i="13"/>
  <c r="I82" i="13" s="1"/>
  <c r="I105" i="13" s="1"/>
  <c r="J77" i="13"/>
  <c r="G78" i="13"/>
  <c r="H78" i="13"/>
  <c r="I78" i="13"/>
  <c r="J78" i="13"/>
  <c r="J82" i="13" s="1"/>
  <c r="J105" i="13" s="1"/>
  <c r="G79" i="13"/>
  <c r="H79" i="13"/>
  <c r="F79" i="13" s="1"/>
  <c r="I79" i="13"/>
  <c r="J79" i="13"/>
  <c r="G80" i="13"/>
  <c r="H80" i="13"/>
  <c r="I80" i="13"/>
  <c r="J80" i="13"/>
  <c r="G81" i="13"/>
  <c r="H81" i="13"/>
  <c r="F81" i="13" s="1"/>
  <c r="I81" i="13"/>
  <c r="J81" i="13"/>
  <c r="G82" i="13"/>
  <c r="I84" i="13"/>
  <c r="J84" i="13"/>
  <c r="F84" i="13" s="1"/>
  <c r="F85" i="13"/>
  <c r="D86" i="13"/>
  <c r="E86" i="13"/>
  <c r="G86" i="13"/>
  <c r="H86" i="13"/>
  <c r="F86" i="13" s="1"/>
  <c r="I86" i="13"/>
  <c r="J86" i="13"/>
  <c r="F87" i="13"/>
  <c r="F88" i="13"/>
  <c r="F89" i="13"/>
  <c r="F90" i="13"/>
  <c r="F91" i="13"/>
  <c r="F92" i="13"/>
  <c r="D94" i="13"/>
  <c r="D104" i="13" s="1"/>
  <c r="E94" i="13"/>
  <c r="F95" i="13"/>
  <c r="F96" i="13"/>
  <c r="F97" i="13"/>
  <c r="G98" i="13"/>
  <c r="G94" i="13"/>
  <c r="H98" i="13"/>
  <c r="H94" i="13"/>
  <c r="H36" i="13" s="1"/>
  <c r="I98" i="13"/>
  <c r="I94" i="13" s="1"/>
  <c r="J98" i="13"/>
  <c r="J94" i="13"/>
  <c r="J36" i="13" s="1"/>
  <c r="D99" i="13"/>
  <c r="D105" i="13" s="1"/>
  <c r="E99" i="13"/>
  <c r="G99" i="13"/>
  <c r="H99" i="13"/>
  <c r="I99" i="13"/>
  <c r="J99" i="13"/>
  <c r="F99" i="13" s="1"/>
  <c r="F100" i="13"/>
  <c r="F101" i="13"/>
  <c r="F102" i="13"/>
  <c r="F103" i="13"/>
  <c r="E104" i="13"/>
  <c r="E105" i="13"/>
  <c r="J109" i="13"/>
  <c r="G36" i="13"/>
  <c r="V77" i="18"/>
  <c r="I36" i="18"/>
  <c r="I105" i="18"/>
  <c r="G105" i="13"/>
  <c r="H41" i="13"/>
  <c r="H35" i="13" s="1"/>
  <c r="H104" i="13" s="1"/>
  <c r="F96" i="18"/>
  <c r="F85" i="18"/>
  <c r="T65" i="18"/>
  <c r="T79" i="18"/>
  <c r="U52" i="18"/>
  <c r="U78" i="18"/>
  <c r="F110" i="14"/>
  <c r="D105" i="14"/>
  <c r="F36" i="13" l="1"/>
  <c r="I36" i="13"/>
  <c r="F94" i="13"/>
  <c r="F41" i="18"/>
  <c r="Z41" i="18" s="1"/>
  <c r="H35" i="18"/>
  <c r="H104" i="18" s="1"/>
  <c r="G104" i="13"/>
  <c r="H82" i="18"/>
  <c r="H105" i="18" s="1"/>
  <c r="W60" i="18"/>
  <c r="T81" i="18"/>
  <c r="V61" i="18"/>
  <c r="P82" i="18"/>
  <c r="P90" i="18" s="1"/>
  <c r="P92" i="18" s="1"/>
  <c r="M53" i="18"/>
  <c r="W53" i="18"/>
  <c r="U46" i="18"/>
  <c r="U42" i="18"/>
  <c r="E74" i="14"/>
  <c r="T60" i="18"/>
  <c r="F98" i="13"/>
  <c r="F80" i="13"/>
  <c r="F78" i="13"/>
  <c r="H77" i="13"/>
  <c r="F60" i="13"/>
  <c r="J35" i="13"/>
  <c r="J104" i="13" s="1"/>
  <c r="J106" i="13" s="1"/>
  <c r="I41" i="13"/>
  <c r="I35" i="13" s="1"/>
  <c r="I104" i="13" s="1"/>
  <c r="I106" i="13" s="1"/>
  <c r="O91" i="18"/>
  <c r="F99" i="18"/>
  <c r="G94" i="18"/>
  <c r="F86" i="18"/>
  <c r="E105" i="18"/>
  <c r="Q82" i="18"/>
  <c r="Q90" i="18" s="1"/>
  <c r="Q92" i="18" s="1"/>
  <c r="J82" i="18"/>
  <c r="J105" i="18" s="1"/>
  <c r="J106" i="18" s="1"/>
  <c r="M65" i="18"/>
  <c r="M61" i="18"/>
  <c r="U61" i="18"/>
  <c r="O82" i="18"/>
  <c r="O90" i="18" s="1"/>
  <c r="W81" i="18"/>
  <c r="W78" i="18"/>
  <c r="T78" i="18"/>
  <c r="T46" i="18"/>
  <c r="F42" i="18"/>
  <c r="Z42" i="18" s="1"/>
  <c r="G77" i="18"/>
  <c r="F57" i="14"/>
  <c r="G91" i="14"/>
  <c r="F3" i="14"/>
  <c r="F42" i="14" s="1"/>
  <c r="F91" i="14" s="1"/>
  <c r="E42" i="14"/>
  <c r="E58" i="17"/>
  <c r="U60" i="18" l="1"/>
  <c r="U81" i="18"/>
  <c r="U77" i="18"/>
  <c r="U41" i="18"/>
  <c r="W79" i="18"/>
  <c r="W82" i="18" s="1"/>
  <c r="W41" i="18"/>
  <c r="F35" i="13"/>
  <c r="E91" i="14"/>
  <c r="L1" i="14" s="1"/>
  <c r="L3" i="14" s="1"/>
  <c r="C92" i="14"/>
  <c r="C97" i="14" s="1"/>
  <c r="C99" i="14" s="1"/>
  <c r="F77" i="18"/>
  <c r="Z77" i="18" s="1"/>
  <c r="G82" i="18"/>
  <c r="T77" i="18"/>
  <c r="T82" i="18" s="1"/>
  <c r="T41" i="18"/>
  <c r="G36" i="18"/>
  <c r="F94" i="18"/>
  <c r="O92" i="18"/>
  <c r="M91" i="18"/>
  <c r="F77" i="13"/>
  <c r="H82" i="13"/>
  <c r="F41" i="13"/>
  <c r="M82" i="18"/>
  <c r="M90" i="18" s="1"/>
  <c r="V60" i="18"/>
  <c r="V81" i="18"/>
  <c r="V82" i="18" s="1"/>
  <c r="G106" i="13"/>
  <c r="F104" i="13"/>
  <c r="H106" i="18"/>
  <c r="F36" i="18" l="1"/>
  <c r="G35" i="18"/>
  <c r="H105" i="13"/>
  <c r="F82" i="13"/>
  <c r="M92" i="18"/>
  <c r="F82" i="18"/>
  <c r="Z82" i="18" s="1"/>
  <c r="G105" i="18"/>
  <c r="F105" i="18" s="1"/>
  <c r="U82" i="18"/>
  <c r="F105" i="13" l="1"/>
  <c r="H106" i="13"/>
  <c r="F106" i="13" s="1"/>
  <c r="F35" i="18"/>
  <c r="G104" i="18"/>
  <c r="F104" i="18" l="1"/>
  <c r="G106" i="18"/>
  <c r="F106" i="18" s="1"/>
</calcChain>
</file>

<file path=xl/sharedStrings.xml><?xml version="1.0" encoding="utf-8"?>
<sst xmlns="http://schemas.openxmlformats.org/spreadsheetml/2006/main" count="892" uniqueCount="481">
  <si>
    <t>98310000-9</t>
  </si>
  <si>
    <t>90510000-5</t>
  </si>
  <si>
    <t>Утилізація сміття та поводження зі сміттям (Вивіз сміття)</t>
  </si>
  <si>
    <t>50310000-1</t>
  </si>
  <si>
    <t>Технічне обслуговування і ремонт офісної техніки</t>
  </si>
  <si>
    <t>48170000-0</t>
  </si>
  <si>
    <t>39100000-3</t>
  </si>
  <si>
    <t>Меблі</t>
  </si>
  <si>
    <t>09210000-4</t>
  </si>
  <si>
    <t>09132000-3</t>
  </si>
  <si>
    <t>Бензин</t>
  </si>
  <si>
    <t>19520000-7</t>
  </si>
  <si>
    <t>19640000-4</t>
  </si>
  <si>
    <t>Поліетиленові мішки та пакети для сміття</t>
  </si>
  <si>
    <t>22800000-8</t>
  </si>
  <si>
    <t>Паперові чи картонні реєстраційні журнали, бухгалтерські книги, швидкозшивачі, бланки та інші паперові канцелярські вироби</t>
  </si>
  <si>
    <t>30100000-0</t>
  </si>
  <si>
    <t>30200000-1</t>
  </si>
  <si>
    <t>Комп’ютерне обладнання та приладдя</t>
  </si>
  <si>
    <t>31200000-8</t>
  </si>
  <si>
    <t>Електророзподільна та контрольна апаратура</t>
  </si>
  <si>
    <t>31300000-9</t>
  </si>
  <si>
    <t>Ізольовані дроти та кабелі</t>
  </si>
  <si>
    <t>31500000-1</t>
  </si>
  <si>
    <t>Освітлювальне обладнання та електричні лампи</t>
  </si>
  <si>
    <t>33760000-5</t>
  </si>
  <si>
    <t>Туалетний папір, носові хустинки, рушники для рук і серветки</t>
  </si>
  <si>
    <t>34300000-0</t>
  </si>
  <si>
    <t>Частини та приладдя до транспортних засобів і їх двигунів</t>
  </si>
  <si>
    <t>35111300-8</t>
  </si>
  <si>
    <t>Вогнегасники</t>
  </si>
  <si>
    <t>39224000-8</t>
  </si>
  <si>
    <t>Мітли, щітки та інше господарське приладдя</t>
  </si>
  <si>
    <t>39500000-7</t>
  </si>
  <si>
    <t>39800000-0</t>
  </si>
  <si>
    <t>Продукція для чищення та полірування</t>
  </si>
  <si>
    <t>44100000-1</t>
  </si>
  <si>
    <t>44520000-1</t>
  </si>
  <si>
    <t>Замки, ключі та петлі</t>
  </si>
  <si>
    <t>44800000-8</t>
  </si>
  <si>
    <t>Фарби, лаки, друкарська фарба та мастики</t>
  </si>
  <si>
    <t>44921200-4</t>
  </si>
  <si>
    <t>Вапно</t>
  </si>
  <si>
    <t>44410000-7</t>
  </si>
  <si>
    <t>Вироби для ванної кімнати та кухні</t>
  </si>
  <si>
    <t>Всього</t>
  </si>
  <si>
    <t>18400000-3</t>
  </si>
  <si>
    <t>22820000-4</t>
  </si>
  <si>
    <t>Бланки (Рецептурні бланки ф. №3)</t>
  </si>
  <si>
    <t>22900000-9</t>
  </si>
  <si>
    <t>33100000-1</t>
  </si>
  <si>
    <t>50112000-3</t>
  </si>
  <si>
    <t>Послуги з ремонту і технічного обслуговування автомобілів</t>
  </si>
  <si>
    <t>64210000-1</t>
  </si>
  <si>
    <t>Послуги телефонного зв’язку та передачі даних (послуги за телефон та інтернет)</t>
  </si>
  <si>
    <t>79710000-4</t>
  </si>
  <si>
    <t>Охоронні послуги (Послуги з моніторингу сигналів тривоги, що надходять з пристроїв охоронної сигналізації)</t>
  </si>
  <si>
    <t>09310000-5</t>
  </si>
  <si>
    <t xml:space="preserve"> Електрична енергія</t>
  </si>
  <si>
    <t>09320000-8</t>
  </si>
  <si>
    <t>Пара, гаряча вода та пов’язана продукція</t>
  </si>
  <si>
    <t>45232421-9</t>
  </si>
  <si>
    <t>Очищення стічних вод</t>
  </si>
  <si>
    <t>41110000-3</t>
  </si>
  <si>
    <t>Питна вода</t>
  </si>
  <si>
    <t>Текстильні вироби (Ковдри, подушки, лікарняна білизна)</t>
  </si>
  <si>
    <t>Конструкційні матеріали та супутні вироби (Цемент, труби та арматура, цвяхи)</t>
  </si>
  <si>
    <t>Послуги з навчання персоналу</t>
  </si>
  <si>
    <t>80511000-9</t>
  </si>
  <si>
    <t>33600000-6</t>
  </si>
  <si>
    <t>Пластмасові вироби (Відра пластмасові, совки, пластмасові ємкості)</t>
  </si>
  <si>
    <t>72261000-2</t>
  </si>
  <si>
    <t>Газети, періодичні спеціалізовані та інші періодичні видання і журнали</t>
  </si>
  <si>
    <t>22200000-2</t>
  </si>
  <si>
    <t>Офісні техніка, устаткування та приладдя, крім комп’ютерів, принтерів та меблів (Папір ксероксний, офісне приладдя, дрібне канцелярське приладдя)</t>
  </si>
  <si>
    <t>Акумуляторні батареї</t>
  </si>
  <si>
    <t>31440000-2</t>
  </si>
  <si>
    <t>44220000-8</t>
  </si>
  <si>
    <t>Спеціальний одяг та аксесуари (Одноразові рукавички)</t>
  </si>
  <si>
    <t>Друкована продукція різна (Плівка одноканальна пишуча не чорнильна)</t>
  </si>
  <si>
    <t>Основні органічні та неорганічні хімічні речовини (Ethanol (Етиловий спирт))</t>
  </si>
  <si>
    <t>24300000-7</t>
  </si>
  <si>
    <t>31700000-3</t>
  </si>
  <si>
    <t>Медичне обладнання (Шприци, перев'язувальний матеріал, меблі медичного значення, ємкості для забору аналізів, тест-смужки, медичні вироби одноразового використання, медичне обладнання для переливання крові, маски)</t>
  </si>
  <si>
    <t>Вимірювальні прилади (Ваги медичні дорослі та дитячі)</t>
  </si>
  <si>
    <t>38300000-8</t>
  </si>
  <si>
    <t>Послуги з ремонту і технічного обслуговування медичного обладнання</t>
  </si>
  <si>
    <t>50421000-2</t>
  </si>
  <si>
    <t>Страхові послуги (Послуги зі страхування життя та автомобілів)</t>
  </si>
  <si>
    <t>66510000-8</t>
  </si>
  <si>
    <t>45310000-3</t>
  </si>
  <si>
    <t>45430000-0</t>
  </si>
  <si>
    <t>Банківські послуги</t>
  </si>
  <si>
    <t>66110000-4</t>
  </si>
  <si>
    <t>Прання білизни</t>
  </si>
  <si>
    <t>Послуги у сфері охорони здоров’я</t>
  </si>
  <si>
    <t>85100000-0</t>
  </si>
  <si>
    <t>70220000-9</t>
  </si>
  <si>
    <t>Розподіл газу</t>
  </si>
  <si>
    <t>65210000-8</t>
  </si>
  <si>
    <t>Природний газ</t>
  </si>
  <si>
    <t>09123000-7</t>
  </si>
  <si>
    <t>ціна</t>
  </si>
  <si>
    <t>к-ть</t>
  </si>
  <si>
    <t>Пакети програмного забезпечення для контролю відповідності (Медікс (174,0), 1-с (25,0))</t>
  </si>
  <si>
    <t>Електромонтажні роботи (збільшення потужності)</t>
  </si>
  <si>
    <t>Покривання підлоги та стін (Леонтовича 100,0, Чорновола 100,0, Шевченка 100,0)</t>
  </si>
  <si>
    <t>липень</t>
  </si>
  <si>
    <t>По спецфонду</t>
  </si>
  <si>
    <t>Назва</t>
  </si>
  <si>
    <t>код</t>
  </si>
  <si>
    <t>ціна, тис. грн.</t>
  </si>
  <si>
    <t>од</t>
  </si>
  <si>
    <t>кількість</t>
  </si>
  <si>
    <t>вартість, тис. грн</t>
  </si>
  <si>
    <t>Гематологічні аналізатори</t>
  </si>
  <si>
    <t>38434570-2</t>
  </si>
  <si>
    <t>шт</t>
  </si>
  <si>
    <t>Аналізатори сечі</t>
  </si>
  <si>
    <t>38434500-1</t>
  </si>
  <si>
    <t>Електрокардіографи</t>
  </si>
  <si>
    <t>33121500-9</t>
  </si>
  <si>
    <t>РАЗОМ</t>
  </si>
  <si>
    <t>Електронне, електромеханічне та електротехнічне обладнання (Глюкометри, тонометри 50 шт)</t>
  </si>
  <si>
    <t>вартість</t>
  </si>
  <si>
    <t>квітень</t>
  </si>
  <si>
    <t>енергоносії</t>
  </si>
  <si>
    <t>Штрафи, пені, неустойки</t>
  </si>
  <si>
    <t>ЗАТВЕРДЖЕНО</t>
  </si>
  <si>
    <t>рішення міської ради</t>
  </si>
  <si>
    <t>від _____________ р. № __________</t>
  </si>
  <si>
    <t>Міський голова</t>
  </si>
  <si>
    <t>І. Слюзар</t>
  </si>
  <si>
    <t>Проект</t>
  </si>
  <si>
    <t>Х</t>
  </si>
  <si>
    <t>Попередній</t>
  </si>
  <si>
    <t>Уточнений</t>
  </si>
  <si>
    <t>Зміни</t>
  </si>
  <si>
    <t>зробити позначку "Х"</t>
  </si>
  <si>
    <t>Коди</t>
  </si>
  <si>
    <t xml:space="preserve">Підприємство  </t>
  </si>
  <si>
    <t>Комунальне некомерційне підприємство Коломийської міської ради "Коломийський міський центр первинної медико-санітарної допомоги"</t>
  </si>
  <si>
    <t xml:space="preserve">за ЄДРПОУ </t>
  </si>
  <si>
    <t xml:space="preserve">Організаційно-правова форма </t>
  </si>
  <si>
    <t>Комунальне підприємство</t>
  </si>
  <si>
    <t>за КОПФГ</t>
  </si>
  <si>
    <t>Територія</t>
  </si>
  <si>
    <t>м. Коломия</t>
  </si>
  <si>
    <t>за КОАТУУ</t>
  </si>
  <si>
    <r>
      <t xml:space="preserve">Орган державного управління  </t>
    </r>
    <r>
      <rPr>
        <b/>
        <i/>
        <sz val="14"/>
        <rFont val="Times New Roman"/>
        <family val="1"/>
        <charset val="204"/>
      </rPr>
      <t xml:space="preserve"> </t>
    </r>
  </si>
  <si>
    <t>за СПОДУ</t>
  </si>
  <si>
    <t xml:space="preserve">Галузь     </t>
  </si>
  <si>
    <t>за ЗКГНГ</t>
  </si>
  <si>
    <t xml:space="preserve">Вид економічної діяльності    </t>
  </si>
  <si>
    <t xml:space="preserve">за  КВЕД  </t>
  </si>
  <si>
    <t>86.10</t>
  </si>
  <si>
    <t>Одиниця виміру, 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</si>
  <si>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</si>
  <si>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</si>
  <si>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</si>
  <si>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</si>
  <si>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</si>
  <si>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</si>
  <si>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78200, Івано-Франківська область, м. Коломия, вул. В'ячеслава Чорновола, 32</t>
  </si>
  <si>
    <t xml:space="preserve">Телефон </t>
  </si>
  <si>
    <t>0343346364</t>
  </si>
  <si>
    <t>Керівник</t>
  </si>
  <si>
    <t>Мельничук Володимир Богданович</t>
  </si>
  <si>
    <t>тис. грн.</t>
  </si>
  <si>
    <t>Найменування показника</t>
  </si>
  <si>
    <t xml:space="preserve">Код рядка </t>
  </si>
  <si>
    <t>Факт минулого року</t>
  </si>
  <si>
    <t>Фінансовий план поточного року</t>
  </si>
  <si>
    <t>Плановий рік  (усього)</t>
  </si>
  <si>
    <t xml:space="preserve">У тому числі за кварталами </t>
  </si>
  <si>
    <t>Пояснення та обґрунтування до запланованого рівня доходів/витрат</t>
  </si>
  <si>
    <t xml:space="preserve">І  </t>
  </si>
  <si>
    <t xml:space="preserve">ІІ  </t>
  </si>
  <si>
    <t xml:space="preserve">ІІІ  </t>
  </si>
  <si>
    <t xml:space="preserve">ІV </t>
  </si>
  <si>
    <t>I. Фінансові результати</t>
  </si>
  <si>
    <t>Доходи і витрати від операційної діяльності (деталізація)</t>
  </si>
  <si>
    <t>Дохід (виручка) від реалізації продукції (товарів, робіт, послуг)</t>
  </si>
  <si>
    <t>наші дві цифри по договору</t>
  </si>
  <si>
    <t>Дохід з місцевого бюджету за цільовими програмами, у тому числі:</t>
  </si>
  <si>
    <t>Програма розвитку первинної медико-санітарної допомоги на засадах сімейної медицини в місті Коломиї на період 2016 - 2020 рр.</t>
  </si>
  <si>
    <t>Централізовані заходи з лікування хворих на цукровий та нецукровий діабет</t>
  </si>
  <si>
    <t>Інші програми та заходи у сфері охорони здоров’я (Відшкодування вартості лікарських засобів згідно Урядової програми "Доступні ліки")</t>
  </si>
  <si>
    <t>УП ДЛ</t>
  </si>
  <si>
    <t>Собівартість реалізованої продукції (товарів, робіт, послуг)</t>
  </si>
  <si>
    <t>Витрати на послуги, матеріали та сировину, в т. ч.:</t>
  </si>
  <si>
    <t>медикаменти та перев’язувальні матеріали</t>
  </si>
  <si>
    <t>Предмети, матеріали, обладнання та інвентар у т. ч. м'який інвентар, запасні частини до транспортних засобів</t>
  </si>
  <si>
    <t>Витрати на паливо-мастильні матеріали</t>
  </si>
  <si>
    <t>Витрати на комунальні послуги та енергоносії, в т.ч.:</t>
  </si>
  <si>
    <t>Витрати на електроенергію</t>
  </si>
  <si>
    <t>Витрати на водопостачання та водовідведення</t>
  </si>
  <si>
    <t>Витрати на природній газ</t>
  </si>
  <si>
    <t>Витрати на теплоенергію</t>
  </si>
  <si>
    <t>Оплата послуг (крім комунальних), в т. ч. супровід програмного забезпечення, телекомунікаційні послуги</t>
  </si>
  <si>
    <t>Витрати на оплату праці</t>
  </si>
  <si>
    <t>Відрахування на соціальні заходи</t>
  </si>
  <si>
    <t>Витрати на відрядження</t>
  </si>
  <si>
    <t>витрати на охорону праці та навчання працівників</t>
  </si>
  <si>
    <t>Витрати по виконанню Урядової програми "Доступні ліки" на відшкодування вартості лікарських засобів</t>
  </si>
  <si>
    <t>Витрати, що здійснюються для підтримання об’єкта в робочому стані (проведення поточного ремонту)</t>
  </si>
  <si>
    <t>????? Поточний ремонт</t>
  </si>
  <si>
    <t>Амортизація</t>
  </si>
  <si>
    <t>Інші витрати (розшифрувати)</t>
  </si>
  <si>
    <t>РЕМ + газ</t>
  </si>
  <si>
    <t>Адміністративні витрати, у тому числі:</t>
  </si>
  <si>
    <t xml:space="preserve">Предмети, матеріали, обладнання та інвентар у т. ч. офісне приладдя та устаткування, витрати на канцтовари, запасні частини до транспортних засобів </t>
  </si>
  <si>
    <t>страхування авто</t>
  </si>
  <si>
    <t>витрати на службові відрядження</t>
  </si>
  <si>
    <t>Уточнити заборгованість на 01.07.18</t>
  </si>
  <si>
    <t>витрати на оплату праці</t>
  </si>
  <si>
    <t>відрахування на соціальні заходи</t>
  </si>
  <si>
    <t>????</t>
  </si>
  <si>
    <t>???</t>
  </si>
  <si>
    <t xml:space="preserve">Амортизація </t>
  </si>
  <si>
    <t>Інші доходи від операційної діяльності, в т.ч.:</t>
  </si>
  <si>
    <t>дохід від операційної оренди активів</t>
  </si>
  <si>
    <t>дохід від реалізації необоротних активів</t>
  </si>
  <si>
    <t>надходження в натуральній формі</t>
  </si>
  <si>
    <t>Інші витрати від операційної діяльності (Підписка на періодичні видання)</t>
  </si>
  <si>
    <t>ІІ. Елементи операційних витрат</t>
  </si>
  <si>
    <t>Матеріальні затрати</t>
  </si>
  <si>
    <t>Інші операційні витрати</t>
  </si>
  <si>
    <t>Разом (сума рядків 310 - 350)</t>
  </si>
  <si>
    <t>ІІІ. Інвестиційна діяльність</t>
  </si>
  <si>
    <t>Доходи від інвестиційної діяльності, у т.ч.:</t>
  </si>
  <si>
    <t>доходи з місцевого бюджету цільового фінансування по капітальних видатках</t>
  </si>
  <si>
    <t>Капітальні інвестиції, усього, у тому числі:</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</si>
  <si>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</si>
  <si>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</si>
  <si>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</si>
  <si>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</si>
  <si>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</si>
  <si>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</si>
  <si>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ІV. Фінансова діяльність</t>
  </si>
  <si>
    <t>Доходи від фінансової діяльності за зобов’язаннями, у т. ч.:</t>
  </si>
  <si>
    <t xml:space="preserve">кредити </t>
  </si>
  <si>
    <t>позики</t>
  </si>
  <si>
    <t>депозити</t>
  </si>
  <si>
    <t>Витрати від фінансової діяльності за зобов’язаннями, у т. ч.:</t>
  </si>
  <si>
    <t>Усього доходів</t>
  </si>
  <si>
    <t>Усього витрат</t>
  </si>
  <si>
    <t>Нерозподілені доходи</t>
  </si>
  <si>
    <t>IV. Додаткова інформація</t>
  </si>
  <si>
    <t>на 1.01</t>
  </si>
  <si>
    <t>на 1.04</t>
  </si>
  <si>
    <t>на 1.07</t>
  </si>
  <si>
    <t>на 1.10</t>
  </si>
  <si>
    <t>на 31.12</t>
  </si>
  <si>
    <t>Штатна чисельність працівників</t>
  </si>
  <si>
    <t>Первісна вартість основних засобів</t>
  </si>
  <si>
    <t>Податкова заборгованість</t>
  </si>
  <si>
    <t>Заборгованість перед працівниками за заробітною платою</t>
  </si>
  <si>
    <t>_________________________</t>
  </si>
  <si>
    <t>В. Б. Мельничук</t>
  </si>
  <si>
    <t xml:space="preserve">                                (посада)</t>
  </si>
  <si>
    <t xml:space="preserve">               (підпис)</t>
  </si>
  <si>
    <t xml:space="preserve">         (ініціали, прізвище)    </t>
  </si>
  <si>
    <t>Послуги з ремонту і технічного обслуговування вимірювальних, випробувальних і контрольних приладів (Послуги з ремонту і технічного обслуговування вимірювальних приладів, Послуги з ремонту і технічного обслуговування протипожежного обладнання)</t>
  </si>
  <si>
    <t>50410000-2</t>
  </si>
  <si>
    <t>РОЗРАХУНКИ ДО ФІНАНСОВОГО ПЛАНУ</t>
  </si>
  <si>
    <t>КНП КМР "Коломийський міський центр ПМСД"</t>
  </si>
  <si>
    <t>Код рядка</t>
  </si>
  <si>
    <t>Фармацевтична продукція, Антисептичні та дезінфекційні засоби (Антисептичні та дезінфекційні засоби, Sodium chloride (натрію хлорид), Glucose (глюкоза), Epinephrine (адреналін), Ammonia (аміаку р-н), Metamizole sodium (анальгін), Atropine (атропіну сульфат), Validol (валідол), Valerian (валеріана), Verapamil (варапаміл), Diclofenac (диклофенак), Etamsylate (дицинон), Dexamethasone (дексаметазон), Bendazol (дибазол), Diphenhydramine (димедрол), Theophylline (еуфілін), Menadione (вікасол), Barbiturates in combination with other drugs (корвалол), Nikethamide (кордіамін), Captopril (каптоприл), Phenylephrine (мезатон), Magnesium sulfate (магнію сульфат), Drotaverine (нохшаверин, но-шпа, дротаверин), Glyceryl trinitrate (нітрогліцерин), Procaine (новокаїн), Prednisolone (преднізолон), Digoxin (діоксин), Furosemide (фуросемід), Barbiturates in combination with other drugs (барбовал), Papaverine (папаверин), Pitofenone and analgesics (спазмалгон), Chloropyramine (супрастин), Clemastine (тавегіл), Nifedipine (фармадипін), Hydrogen peroxide (водню пероксид), Comb drug (аеродезин), Salbutamol (вентолін), Strophantin (строфантин К), Ibuprofen (ібупрофен), Caffeine (кофеїн), Paracetamol (парацетамол), Charcoal medicinae (вугілля активоване), Loratadine (лоратадин), Loperamide (лоперамід), Ceftriaxone (цефтриаксон), Ketorolac (кеторолак), Decamethoxine (декаметоксин)))</t>
  </si>
  <si>
    <t>ДК 021:2015</t>
  </si>
  <si>
    <t>Назва рядка</t>
  </si>
  <si>
    <t>Медикаменти та перев’язувальні матеріали</t>
  </si>
  <si>
    <t>Мастильні засоби (Масло)</t>
  </si>
  <si>
    <t>142, 261</t>
  </si>
  <si>
    <t>150, 268</t>
  </si>
  <si>
    <t>Паливно-мастильні матеріали</t>
  </si>
  <si>
    <t>Підписка на періодичні видання</t>
  </si>
  <si>
    <t>170, 262</t>
  </si>
  <si>
    <t>210, 269</t>
  </si>
  <si>
    <t>Витрати на охорону праці та навчання працівників</t>
  </si>
  <si>
    <t>200, 263</t>
  </si>
  <si>
    <t>оплата за 1 день</t>
  </si>
  <si>
    <t>Витрати на відрядження працівників</t>
  </si>
  <si>
    <t>ціна за одиницю</t>
  </si>
  <si>
    <t>380 (382)</t>
  </si>
  <si>
    <t>Капітальні інвестиції (придбання (виготовлення) основних засобів)</t>
  </si>
  <si>
    <t>Інші витрати (санітарно-гігієнічні послуги)</t>
  </si>
  <si>
    <t>інші адміністративні витрати (юридичні послуги, штрафи, пені, неустойки)</t>
  </si>
  <si>
    <t>2210 "Предмети, матеріали, обладнання та інвентар, у т. ч. м'який інвентар та обмурдирування" на 2019 рік</t>
  </si>
  <si>
    <t>2220 "Медикаменти та перев'язувальні матеріали" на 2019 рік</t>
  </si>
  <si>
    <t>2240 "Оплата послуг (крім комунальних)" на 2019 рік</t>
  </si>
  <si>
    <t>2282 на 2019 рік</t>
  </si>
  <si>
    <t>2800 на 2019 рік</t>
  </si>
  <si>
    <t>2250 на 2019 рік</t>
  </si>
  <si>
    <t>Відрядні на 2019 рік</t>
  </si>
  <si>
    <t>3110 на 2019 рік</t>
  </si>
  <si>
    <r>
      <t>ФІНАНСОВИЙ ПЛАН ПІДПРИЄМСТВА НА __</t>
    </r>
    <r>
      <rPr>
        <b/>
        <u/>
        <sz val="14"/>
        <rFont val="Times New Roman"/>
        <family val="1"/>
        <charset val="204"/>
      </rPr>
      <t xml:space="preserve"> 2019</t>
    </r>
    <r>
      <rPr>
        <b/>
        <sz val="14"/>
        <rFont val="Times New Roman"/>
        <family val="1"/>
        <charset val="204"/>
      </rPr>
      <t>___ рік</t>
    </r>
  </si>
  <si>
    <t>Керівник      Головний лікар КНП КМР "КМЦ ПМСД"</t>
  </si>
  <si>
    <t>Інші адміністративні витрати (юридичні послуги, штрафи, пені, неустойки)</t>
  </si>
  <si>
    <t>Юридичні послуги, штрафи, пені, неустойки</t>
  </si>
  <si>
    <r>
      <t>Відрядження (Витрати, не підтверджені документально, на харчування та фінансування інших власних потреб фізичної особи (добові витрати) -</t>
    </r>
    <r>
      <rPr>
        <b/>
        <sz val="12"/>
        <rFont val="Times New Roman"/>
        <family val="1"/>
        <charset val="204"/>
      </rPr>
      <t xml:space="preserve"> Розмір</t>
    </r>
    <r>
      <rPr>
        <sz val="12"/>
        <rFont val="Times New Roman"/>
        <family val="1"/>
        <charset val="204"/>
      </rPr>
      <t xml:space="preserve"> 0,1 розміру МЗП, встановленої законом на 1 січня податкового (звітного) року, в розрахунку за кожен календарний день - </t>
    </r>
    <r>
      <rPr>
        <b/>
        <sz val="12"/>
        <rFont val="Times New Roman"/>
        <family val="1"/>
        <charset val="204"/>
      </rPr>
      <t>СУМА</t>
    </r>
    <r>
      <rPr>
        <sz val="12"/>
        <rFont val="Times New Roman"/>
        <family val="1"/>
        <charset val="204"/>
      </rPr>
      <t xml:space="preserve"> (у межах України) 372,30 грн.)</t>
    </r>
  </si>
  <si>
    <t>Граничні норми добових витрат визначено абз. 6 пп. 170.9.1 ПКУ для цілей оподаткування ПДФО та військовим збором. Наведені норми встановлено для працівників підприємств усіх форм власності, крім державних службовців та осіб, які направляються у відрядження підприємствами, що повністю або частково утримуються за рахунок бюджетних коштів, для яких постановою КМУ від 02.02.2011 р. N 98 встановлено окремі норми. </t>
  </si>
  <si>
    <t>180, 264</t>
  </si>
  <si>
    <t>Витрати на оплату праці основним працівникам</t>
  </si>
  <si>
    <t>Витрати на оплату праці адміністративному персоналу</t>
  </si>
  <si>
    <t>181, 265</t>
  </si>
  <si>
    <t>Відрахування на соціальні заходи (нарахування на заробітну плату)</t>
  </si>
  <si>
    <t>Відрахування на соціальні заходи основним працівникам</t>
  </si>
  <si>
    <t>Відрахування на соціальні заходи адміністративному персоналу</t>
  </si>
  <si>
    <t>160, 266, 267</t>
  </si>
  <si>
    <t>Послуги з надання в оренду чи лізингу нежитлової нерухомості (оренда приміщення в ЦРЛ)</t>
  </si>
  <si>
    <t>Виготовлення електронних ключів та електронно-цифрових підписів</t>
  </si>
  <si>
    <t>Послуги у сфері охорони здоров’я (оплата реагентів для проведення аналізів у лабораторії Коломийської ЦРЛ)</t>
  </si>
  <si>
    <t>на 2019 рік</t>
  </si>
  <si>
    <t>Компютери (ПК, планшети)</t>
  </si>
  <si>
    <t>380 (386)</t>
  </si>
  <si>
    <t>Капітальний ремонт</t>
  </si>
  <si>
    <t>Проведення капітального ремонту приміщення для відкриття амбулаторії ЗПСМ</t>
  </si>
  <si>
    <t>39710000-2</t>
  </si>
  <si>
    <t>38410000-2</t>
  </si>
  <si>
    <t>розподіл</t>
  </si>
  <si>
    <t>трансп.</t>
  </si>
  <si>
    <t>ВТ</t>
  </si>
  <si>
    <t>34420000-7</t>
  </si>
  <si>
    <t>Моторолери та моторизовані велосипеди</t>
  </si>
  <si>
    <t>Звіт</t>
  </si>
  <si>
    <t>.03.2019</t>
  </si>
  <si>
    <t>.02.2019</t>
  </si>
  <si>
    <t>31120000-3</t>
  </si>
  <si>
    <t>Генератор</t>
  </si>
  <si>
    <t>.01.2019</t>
  </si>
  <si>
    <t>22210000-5</t>
  </si>
  <si>
    <t>Газети</t>
  </si>
  <si>
    <t>22810000-1</t>
  </si>
  <si>
    <t>22850000-3</t>
  </si>
  <si>
    <t>Бланки</t>
  </si>
  <si>
    <t>Паперові чи картонні реєстраційні журнали</t>
  </si>
  <si>
    <t>Швидкозшивачі та супутнє приладдя</t>
  </si>
  <si>
    <t>30120000-6</t>
  </si>
  <si>
    <t>30190000-7</t>
  </si>
  <si>
    <t>30230000-0</t>
  </si>
  <si>
    <t>31210000-1</t>
  </si>
  <si>
    <t>Електрична апаратура для комутування та захисту електричних кіл</t>
  </si>
  <si>
    <t>Мережеві кабелі</t>
  </si>
  <si>
    <t>31310000-2</t>
  </si>
  <si>
    <t>31530000-0</t>
  </si>
  <si>
    <t>Частини до світильників та освітлювального обладнання</t>
  </si>
  <si>
    <t>31520000-7</t>
  </si>
  <si>
    <t>Світильники та освітлювальна арматура</t>
  </si>
  <si>
    <t>34310000-3</t>
  </si>
  <si>
    <t>Двигуни та їх частини</t>
  </si>
  <si>
    <t>34320000-6</t>
  </si>
  <si>
    <t>Механічні запасні частини, крім двигунів і частин двигунів</t>
  </si>
  <si>
    <t>34330000-9</t>
  </si>
  <si>
    <t>Запасні частини до вантажних транспортних засобів, фургонів та легкових автомобілів</t>
  </si>
  <si>
    <t>34350000-5</t>
  </si>
  <si>
    <t>Шини для транспортних засобів великої та малої тоннажності</t>
  </si>
  <si>
    <t>39110000-6</t>
  </si>
  <si>
    <t>Сидіння, стільці та супутні вироби і частини до них</t>
  </si>
  <si>
    <t>39120000-9</t>
  </si>
  <si>
    <t>Столи, серванти, письмові столи та книжкові шафи</t>
  </si>
  <si>
    <t>39130000-2</t>
  </si>
  <si>
    <t>Офісні меблі</t>
  </si>
  <si>
    <t>39220000-0</t>
  </si>
  <si>
    <t>Кухонне приладдя, товари для дому та господарства і приладдя для закладів громадського харчування (Мітли, щітки та інше господарське приладдя)</t>
  </si>
  <si>
    <t>39510000-0</t>
  </si>
  <si>
    <t>39810000-3</t>
  </si>
  <si>
    <t>Ароматизатори та воски</t>
  </si>
  <si>
    <t>39830000-9</t>
  </si>
  <si>
    <t>Продукція для чищення</t>
  </si>
  <si>
    <t>44110000-4</t>
  </si>
  <si>
    <t>44810000-1</t>
  </si>
  <si>
    <t>Фарби</t>
  </si>
  <si>
    <t>44830000-7</t>
  </si>
  <si>
    <t>Мастики, шпаклівки, замазки та розчинники</t>
  </si>
  <si>
    <t>44920000-5</t>
  </si>
  <si>
    <t>Вапняк, гіпс і крейда (Вапно)</t>
  </si>
  <si>
    <t>Столярні вироби (Вікна, двері)</t>
  </si>
  <si>
    <t>Лічильні прилади</t>
  </si>
  <si>
    <t>Електричні побутові прилади</t>
  </si>
  <si>
    <t>31410000-3</t>
  </si>
  <si>
    <t>Гальванічні елементи</t>
  </si>
  <si>
    <t>18420000-9</t>
  </si>
  <si>
    <t>Аксесуари для одягу (Одноразові рукавички)</t>
  </si>
  <si>
    <t>22990000-6</t>
  </si>
  <si>
    <t>Газетний папір, папір ручного виготовлення та інший некрейдований папір або картон для графічних цілей</t>
  </si>
  <si>
    <t>31710000-6</t>
  </si>
  <si>
    <t>Електронне обладнання</t>
  </si>
  <si>
    <t>33140000-3</t>
  </si>
  <si>
    <t>Медичні матеріали (Шприци, перев'язувальний матеріал, стерильні рукавички, контейнери, медичні комплекти, ланцети)</t>
  </si>
  <si>
    <t>33120000-7</t>
  </si>
  <si>
    <t>Системи реєстрації медичної інформації та дослідне обладнання (індикаторні смужки, тест-смужки)</t>
  </si>
  <si>
    <t>33190000-8</t>
  </si>
  <si>
    <t>Медичне обладнання та вироби медичного призначення різні (меблі медичні, пробірки, штативи, одяг для медперсоналу, аптечки)</t>
  </si>
  <si>
    <t>38310000-1</t>
  </si>
  <si>
    <t>Високоточні терези (Електронні ваги дорослі та дитячі)</t>
  </si>
  <si>
    <t>Покривання підлоги та стін (Леонтовича 190,0, Чорновола 190,0, Шевченка 190,0)</t>
  </si>
  <si>
    <t>98390000-3</t>
  </si>
  <si>
    <t>65310000-9</t>
  </si>
  <si>
    <t>Розподіл електричної енергії</t>
  </si>
  <si>
    <t>38430000-8</t>
  </si>
  <si>
    <t>42930000-4</t>
  </si>
  <si>
    <t>Центрифуги, вальцювальні машини чи торгові автомати</t>
  </si>
  <si>
    <t>Детектори та аналізатори (Біохімічний аналізатор, гематологічний аналізатор, аналізатори сечі)</t>
  </si>
  <si>
    <t>.08.2019</t>
  </si>
  <si>
    <t>розвиток</t>
  </si>
  <si>
    <t>Фотокопіювальне та поліграфічне обладнання для офсетного друку (Принтери, картриджи)</t>
  </si>
  <si>
    <t>Офісне устаткування та приладдя різне (Папір ксероксний, офісне приладдя, дрібне канцелярське приладдя)</t>
  </si>
  <si>
    <t>Вироби домашнього текстилю (Ковдри, подушки, лікарняна білизна)</t>
  </si>
  <si>
    <t>Конструкційні матеріали (Цемент, труби та арматура, цвяхи)</t>
  </si>
  <si>
    <t>09130000-9</t>
  </si>
  <si>
    <t>Нафта і дистиляти (Бензин марки А-92)</t>
  </si>
  <si>
    <t>Інші послуги (99999999-9 - оплата кварплати приміщення за адресою вул. Привокзальна, 13)</t>
  </si>
  <si>
    <t>Інші надходження (оренда)</t>
  </si>
  <si>
    <t>Дохід з місцевого бюджету цільового фінансування на оплату комунальних послуг та енергоносіїв, товарів, робіт та послуг та інші доходи (оренда приміщень)</t>
  </si>
  <si>
    <t>91000</t>
  </si>
  <si>
    <t>90000</t>
  </si>
  <si>
    <t>доходи з місцевого бюджету цільового фінансування по капітальних видатках (формування резервного фонду)</t>
  </si>
  <si>
    <t>залишок на 1.01.</t>
  </si>
  <si>
    <t>залишок на 1.02.</t>
  </si>
  <si>
    <t>залишок на 1.03.</t>
  </si>
  <si>
    <t>з 1715,66 мінус 20% ПДВ, мінус 30% дохід бюджету міста</t>
  </si>
  <si>
    <t>залишок за попередній рік 1486391,61</t>
  </si>
  <si>
    <t>сума по договору 23 932 258,00 грн.</t>
  </si>
  <si>
    <t>сума по гранду 503728,0 грн.</t>
  </si>
  <si>
    <t>Договір НСЗУ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</si>
  <si>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</si>
  <si>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</si>
  <si>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</si>
  <si>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</si>
  <si>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</si>
  <si>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</si>
  <si>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</si>
  <si>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</si>
  <si>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</si>
  <si>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</si>
  <si>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</si>
  <si>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</si>
  <si>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помісячно</t>
  </si>
  <si>
    <t>поквартально</t>
  </si>
  <si>
    <t>Грант</t>
  </si>
  <si>
    <t>кредити / позики</t>
  </si>
  <si>
    <t>гранти</t>
  </si>
  <si>
    <t>Інші програми та заходи у сфері охорони здоров’я (гранти)</t>
  </si>
  <si>
    <t>Дохід  (виручка) від фінансової діяльності та інші доходи (кредити, позики, гранти, депозити, оренда приміщень і т.д.)</t>
  </si>
  <si>
    <t>доходи з місцевого бюджету цільового фінансування по капітальних видатках; резервний фонд (в т. ч. залишки за минулий період)</t>
  </si>
  <si>
    <t>Всього по фінплану</t>
  </si>
  <si>
    <t>договір НСЗУ+Грант+Залишок 2018+депозит+Оренда</t>
  </si>
  <si>
    <t>є</t>
  </si>
  <si>
    <t>має бути</t>
  </si>
  <si>
    <t>різниця</t>
  </si>
  <si>
    <t>залишок за попередній рік</t>
  </si>
  <si>
    <t>=N42+N45+N46+N51+N54+N55+N56+N57</t>
  </si>
  <si>
    <t>=N42+N45+N46+N51+SUM(N52:N59)</t>
  </si>
  <si>
    <t>=SUM(N43:N44)</t>
  </si>
  <si>
    <t>=SUM(N47:N50)</t>
  </si>
  <si>
    <t>=SUM(N61:N71)</t>
  </si>
  <si>
    <t>=SUM(N73:N74)</t>
  </si>
  <si>
    <t>=N52+N64</t>
  </si>
  <si>
    <t>=N53+N65</t>
  </si>
  <si>
    <t>=N58+N70</t>
  </si>
  <si>
    <t>=N59+N61+N62+N63+N66+N67+N68+N69+N71+N75</t>
  </si>
  <si>
    <t>№3061-38/2018 від 18.10.2018р.</t>
  </si>
  <si>
    <t>На 2019р. — 3061-38/2018 від 18.10.2018</t>
  </si>
  <si>
    <t>на 2018 №3060-38/2018 від 18.10.2018р.</t>
  </si>
  <si>
    <t>від 23.05.2019р.  № 3731-45/2019-45</t>
  </si>
  <si>
    <t>-</t>
  </si>
  <si>
    <t>Фактично  (усього)</t>
  </si>
  <si>
    <t>Одиниця виміру, тис. грн.</t>
  </si>
  <si>
    <t>КП "Коломия Паркосервіс"</t>
  </si>
  <si>
    <t>78203, Івано-Франківська область, м. Коломия, просп.М.Грушевського,1</t>
  </si>
  <si>
    <t>47603</t>
  </si>
  <si>
    <t>Володимир Івоняк</t>
  </si>
  <si>
    <t>52.21</t>
  </si>
  <si>
    <t>обслуговування паркоматів</t>
  </si>
  <si>
    <t>Інші витрати</t>
  </si>
  <si>
    <t>Дохід з місцевого бюджету за цільовими програмами</t>
  </si>
  <si>
    <t xml:space="preserve"> Директор КП "Коломия Паркосервіс"                                                                            </t>
  </si>
  <si>
    <r>
      <t>ФІНАНСОВИЙ ПЛАН ПІДПРИЄМСТВА НА __</t>
    </r>
    <r>
      <rPr>
        <b/>
        <u/>
        <sz val="14"/>
        <rFont val="Times New Roman"/>
        <family val="1"/>
        <charset val="204"/>
      </rPr>
      <t xml:space="preserve"> 2019</t>
    </r>
    <r>
      <rPr>
        <b/>
        <sz val="14"/>
        <rFont val="Times New Roman"/>
        <family val="1"/>
        <charset val="204"/>
      </rPr>
      <t>_ рік</t>
    </r>
  </si>
  <si>
    <t>пеня за несвоєчасну сплату</t>
  </si>
  <si>
    <t>Разом (сума рядків 260 - 300)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</si>
</sst>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_-* #,##0.00_₴_-;\-* #,##0.00_₴_-;_-* &quot;-&quot;??_₴_-;_-@_-"/>
    <numFmt numFmtId="165" formatCode="_-* #,##0.00_р_._-;\-* #,##0.00_р_._-;_-* &quot;-&quot;??_р_._-;_-@_-"/>
    <numFmt numFmtId="166" formatCode="_(* #,##0_);_(* \(#,##0\);_(* &quot;-&quot;_);_(@_)"/>
    <numFmt numFmtId="167" formatCode="_(* #,##0.0_);_(* \(#,##0.0\);_(* &quot;-&quot;_);_(@_)"/>
    <numFmt numFmtId="168" formatCode="#,##0.0"/>
    <numFmt numFmtId="169" formatCode="0.000000"/>
    <numFmt numFmtId="170" formatCode="0.0000"/>
    <numFmt numFmtId="171" formatCode="_-* #,##0.0_₴_-;\-* #,##0.0_₴_-;_-* &quot;-&quot;?_₴_-;_-@_-"/>
  </numFmts>
  <fonts count="33" x14ac:knownFonts="1">
    <font>
      <sz val="11"/>
      <color theme="1"/>
      <name val="Calibri"/>
      <family val="2"/>
      <charset val="204"/>
      <scheme val="minor"/>
    </font>
    <font>
      <sz val="12"/>
      <name val="Times New Roman"/>
      <family val="1"/>
      <charset val="204"/>
    </font>
    <font>
      <b/>
      <sz val="14"/>
      <name val="Times New Roman"/>
      <family val="1"/>
      <charset val="204"/>
    </font>
    <font>
      <b/>
      <sz val="10"/>
      <name val="Times New Roman"/>
      <family val="1"/>
      <charset val="204"/>
    </font>
    <font>
      <b/>
      <sz val="12"/>
      <name val="Times New Roman"/>
      <family val="1"/>
      <charset val="204"/>
    </font>
    <font>
      <sz val="12"/>
      <name val="Arial Cyr"/>
    </font>
    <font>
      <sz val="6"/>
      <name val="Times New Roman"/>
      <family val="1"/>
      <charset val="204"/>
    </font>
    <font>
      <sz val="10"/>
      <name val="Times New Roman"/>
      <family val="1"/>
      <charset val="204"/>
    </font>
    <font>
      <sz val="10"/>
      <name val="Arial Cyr"/>
    </font>
    <font>
      <sz val="8"/>
      <name val="Times New Roman"/>
      <family val="1"/>
      <charset val="204"/>
    </font>
    <font>
      <sz val="14"/>
      <name val="Times New Roman"/>
      <family val="1"/>
      <charset val="204"/>
    </font>
    <font>
      <b/>
      <i/>
      <sz val="14"/>
      <name val="Times New Roman"/>
      <family val="1"/>
      <charset val="204"/>
    </font>
    <font>
      <b/>
      <u/>
      <sz val="14"/>
      <name val="Times New Roman"/>
      <family val="1"/>
      <charset val="204"/>
    </font>
    <font>
      <i/>
      <sz val="14"/>
      <name val="Times New Roman"/>
      <family val="1"/>
      <charset val="204"/>
    </font>
    <font>
      <b/>
      <u/>
      <sz val="13"/>
      <name val="Times New Roman"/>
      <family val="1"/>
      <charset val="204"/>
    </font>
    <font>
      <b/>
      <sz val="13"/>
      <name val="Times New Roman"/>
      <family val="1"/>
      <charset val="204"/>
    </font>
    <font>
      <sz val="10"/>
      <name val="Arial Cyr"/>
      <charset val="204"/>
    </font>
    <font>
      <sz val="16"/>
      <name val="Times New Roman"/>
      <family val="1"/>
      <charset val="204"/>
    </font>
    <font>
      <sz val="11"/>
      <color theme="1"/>
      <name val="Calibri"/>
      <family val="2"/>
      <charset val="204"/>
      <scheme val="minor"/>
    </font>
    <font>
      <sz val="12"/>
      <color theme="1"/>
      <name val="Times New Roman"/>
      <family val="1"/>
      <charset val="204"/>
    </font>
    <font>
      <sz val="12"/>
      <color theme="1"/>
      <name val="Calibri"/>
      <family val="2"/>
      <charset val="204"/>
      <scheme val="minor"/>
    </font>
    <font>
      <b/>
      <sz val="18"/>
      <color theme="1"/>
      <name val="Times New Roman"/>
      <family val="1"/>
      <charset val="204"/>
    </font>
    <font>
      <sz val="10"/>
      <color theme="1"/>
      <name val="Times New Roman"/>
      <family val="2"/>
      <charset val="204"/>
    </font>
    <font>
      <sz val="11"/>
      <color theme="1"/>
      <name val="Times New Roman"/>
      <family val="1"/>
      <charset val="204"/>
    </font>
    <font>
      <b/>
      <sz val="12"/>
      <color theme="1"/>
      <name val="Times New Roman"/>
      <family val="1"/>
      <charset val="204"/>
    </font>
    <font>
      <i/>
      <u/>
      <sz val="12"/>
      <color theme="1"/>
      <name val="Times New Roman"/>
      <family val="1"/>
      <charset val="204"/>
    </font>
    <font>
      <sz val="10"/>
      <color rgb="FF555555"/>
      <name val="Arial"/>
      <family val="2"/>
      <charset val="204"/>
    </font>
    <font>
      <b/>
      <sz val="14"/>
      <color theme="1"/>
      <name val="Times New Roman"/>
      <family val="1"/>
      <charset val="204"/>
    </font>
    <font>
      <sz val="14"/>
      <color theme="1"/>
      <name val="Times New Roman"/>
      <family val="1"/>
      <charset val="204"/>
    </font>
    <font>
      <i/>
      <sz val="14"/>
      <color theme="1"/>
      <name val="Times New Roman"/>
      <family val="1"/>
      <charset val="204"/>
    </font>
    <font>
      <sz val="10"/>
      <color theme="1"/>
      <name val="Times New Roman"/>
      <family val="1"/>
      <charset val="204"/>
    </font>
    <font>
      <b/>
      <sz val="14"/>
      <color rgb="FFFF0000"/>
      <name val="Times New Roman"/>
      <family val="1"/>
      <charset val="204"/>
    </font>
    <font>
      <b/>
      <sz val="11"/>
      <color theme="1"/>
      <name val="Calibri"/>
      <family val="2"/>
      <charset val="204"/>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99FFCC"/>
        <bgColor indexed="64"/>
      </patternFill>
    </fill>
    <fill>
      <patternFill patternType="solid">
        <fgColor rgb="FFFFFF99"/>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4">
    <xf numFmtId="0" fontId="0" fillId="0" borderId="0"/>
    <xf numFmtId="0" fontId="8" fillId="0" borderId="0"/>
    <xf numFmtId="0" fontId="16" fillId="0" borderId="0"/>
    <xf numFmtId="43" fontId="18" fillId="0" borderId="0" applyFont="0" applyFill="0" applyBorder="0" applyAlignment="0" applyProtection="0"/>
  </cellStyleXfs>
  <cellXfs count="338">
    <xf numFmtId="0" fontId="0" fillId="0" borderId="0" xfId="0"/>
    <xf numFmtId="0" fontId="19" fillId="0" borderId="1"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6" fillId="0" borderId="1" xfId="0" applyFont="1" applyBorder="1" applyAlignment="1">
      <alignment vertical="top" wrapText="1"/>
    </xf>
    <xf numFmtId="0" fontId="1" fillId="0" borderId="1" xfId="0" applyFont="1" applyBorder="1"/>
    <xf numFmtId="0" fontId="4" fillId="0" borderId="1" xfId="0" applyFont="1" applyBorder="1"/>
    <xf numFmtId="0" fontId="5" fillId="0" borderId="0" xfId="0" applyFont="1" applyFill="1" applyAlignment="1">
      <alignment horizontal="center"/>
    </xf>
    <xf numFmtId="0" fontId="0" fillId="0" borderId="1" xfId="0" applyBorder="1"/>
    <xf numFmtId="0" fontId="2" fillId="0" borderId="0" xfId="0" applyFont="1" applyAlignment="1">
      <alignment horizontal="center" vertical="center" wrapText="1"/>
    </xf>
    <xf numFmtId="4" fontId="20" fillId="0" borderId="1" xfId="0" applyNumberFormat="1" applyFont="1" applyBorder="1" applyAlignment="1">
      <alignment horizontal="center" vertical="center"/>
    </xf>
    <xf numFmtId="0" fontId="19" fillId="0" borderId="1" xfId="0" applyFont="1" applyFill="1" applyBorder="1" applyAlignment="1">
      <alignment horizontal="center" vertical="center" wrapText="1"/>
    </xf>
    <xf numFmtId="0" fontId="19" fillId="0" borderId="0" xfId="0" applyFont="1"/>
    <xf numFmtId="0" fontId="2" fillId="0" borderId="0" xfId="0" applyFont="1" applyBorder="1" applyAlignment="1">
      <alignment horizontal="center" vertical="center"/>
    </xf>
    <xf numFmtId="0" fontId="2" fillId="0" borderId="2" xfId="0" applyFont="1" applyBorder="1" applyAlignment="1">
      <alignment vertical="center"/>
    </xf>
    <xf numFmtId="0" fontId="4" fillId="0" borderId="0" xfId="0" applyFont="1" applyBorder="1" applyAlignment="1">
      <alignment horizontal="left" vertical="top" wrapText="1"/>
    </xf>
    <xf numFmtId="0" fontId="0" fillId="0" borderId="0" xfId="0" applyBorder="1"/>
    <xf numFmtId="0" fontId="4" fillId="0" borderId="0" xfId="0" applyFont="1" applyBorder="1"/>
    <xf numFmtId="0" fontId="21" fillId="0" borderId="0" xfId="0" applyFont="1"/>
    <xf numFmtId="0" fontId="0" fillId="5" borderId="1" xfId="0" applyFont="1" applyFill="1" applyBorder="1"/>
    <xf numFmtId="0" fontId="22" fillId="5" borderId="1" xfId="0" applyFont="1" applyFill="1" applyBorder="1" applyAlignment="1">
      <alignment horizontal="center" vertical="center" wrapText="1"/>
    </xf>
    <xf numFmtId="0" fontId="22" fillId="5" borderId="2" xfId="0" applyFont="1" applyFill="1" applyBorder="1" applyAlignment="1">
      <alignment horizontal="center"/>
    </xf>
    <xf numFmtId="0" fontId="1" fillId="0" borderId="0" xfId="0" applyFont="1" applyFill="1" applyBorder="1" applyAlignment="1">
      <alignment horizontal="center" vertical="center"/>
    </xf>
    <xf numFmtId="0" fontId="4" fillId="0" borderId="3" xfId="0" applyFont="1" applyBorder="1" applyAlignment="1">
      <alignment horizontal="left" vertical="top" wrapText="1"/>
    </xf>
    <xf numFmtId="0" fontId="23" fillId="0" borderId="0" xfId="0" applyFont="1"/>
    <xf numFmtId="0" fontId="23" fillId="0" borderId="0" xfId="0" applyFont="1" applyAlignment="1">
      <alignment horizontal="center"/>
    </xf>
    <xf numFmtId="0" fontId="1" fillId="4" borderId="1"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3" xfId="0" applyFont="1" applyFill="1" applyBorder="1" applyAlignment="1">
      <alignment vertical="center"/>
    </xf>
    <xf numFmtId="0" fontId="10" fillId="0" borderId="5" xfId="0" applyFont="1" applyFill="1" applyBorder="1" applyAlignment="1">
      <alignment vertical="center"/>
    </xf>
    <xf numFmtId="0" fontId="10" fillId="0" borderId="3"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0" xfId="0" applyFont="1" applyFill="1" applyBorder="1" applyAlignment="1">
      <alignment vertical="center"/>
    </xf>
    <xf numFmtId="0" fontId="10" fillId="0" borderId="1" xfId="0" applyFont="1" applyFill="1" applyBorder="1" applyAlignment="1">
      <alignment horizontal="left" vertical="center" wrapText="1"/>
    </xf>
    <xf numFmtId="0" fontId="10" fillId="0" borderId="1" xfId="0" quotePrefix="1" applyFont="1" applyFill="1" applyBorder="1" applyAlignment="1">
      <alignment horizontal="center" vertical="center"/>
    </xf>
    <xf numFmtId="166" fontId="10" fillId="0"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quotePrefix="1"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6" fontId="10" fillId="6" borderId="1" xfId="0" applyNumberFormat="1" applyFont="1" applyFill="1" applyBorder="1" applyAlignment="1">
      <alignment horizontal="center" vertical="center" wrapText="1"/>
    </xf>
    <xf numFmtId="167" fontId="10" fillId="6" borderId="1" xfId="0" applyNumberFormat="1" applyFont="1" applyFill="1" applyBorder="1" applyAlignment="1">
      <alignment horizontal="center" vertical="center" wrapText="1"/>
    </xf>
    <xf numFmtId="0" fontId="10" fillId="0" borderId="0" xfId="0" applyFont="1" applyFill="1" applyAlignment="1">
      <alignment vertical="center"/>
    </xf>
    <xf numFmtId="0" fontId="13" fillId="0" borderId="1" xfId="0"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166" fontId="10" fillId="0" borderId="0" xfId="0" applyNumberFormat="1" applyFont="1" applyFill="1" applyAlignment="1">
      <alignment vertical="center"/>
    </xf>
    <xf numFmtId="0" fontId="13" fillId="0" borderId="1" xfId="0" applyFont="1" applyFill="1" applyBorder="1" applyAlignment="1">
      <alignment horizontal="center"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10" fillId="0" borderId="1" xfId="0" quotePrefix="1"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quotePrefix="1"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166" fontId="2" fillId="3" borderId="1" xfId="0"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0" fontId="10" fillId="0" borderId="0" xfId="0" quotePrefix="1" applyFont="1" applyFill="1" applyBorder="1" applyAlignment="1">
      <alignment horizontal="center" vertical="center"/>
    </xf>
    <xf numFmtId="166" fontId="10" fillId="0" borderId="0" xfId="0" applyNumberFormat="1" applyFont="1" applyFill="1" applyBorder="1" applyAlignment="1">
      <alignment horizontal="center" vertical="center" wrapText="1"/>
    </xf>
    <xf numFmtId="168" fontId="10" fillId="0" borderId="0" xfId="0" applyNumberFormat="1" applyFont="1" applyFill="1" applyBorder="1" applyAlignment="1">
      <alignment horizontal="center" vertical="center" wrapText="1"/>
    </xf>
    <xf numFmtId="168" fontId="10" fillId="0" borderId="0" xfId="0" applyNumberFormat="1" applyFont="1" applyFill="1" applyBorder="1" applyAlignment="1">
      <alignment horizontal="right" vertical="center" wrapText="1"/>
    </xf>
    <xf numFmtId="0" fontId="14" fillId="0" borderId="0" xfId="0" applyFont="1" applyFill="1" applyBorder="1" applyAlignment="1">
      <alignment horizontal="left" vertical="center" wrapText="1"/>
    </xf>
    <xf numFmtId="168" fontId="13"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10" fillId="0" borderId="0" xfId="0" applyFont="1" applyFill="1" applyBorder="1" applyAlignment="1">
      <alignment vertical="center" wrapText="1"/>
    </xf>
    <xf numFmtId="2" fontId="10" fillId="0" borderId="0" xfId="0" applyNumberFormat="1" applyFont="1" applyFill="1" applyAlignment="1">
      <alignment vertical="center"/>
    </xf>
    <xf numFmtId="0" fontId="19" fillId="0" borderId="8" xfId="0" applyFont="1" applyBorder="1" applyAlignment="1">
      <alignment vertical="center" wrapText="1"/>
    </xf>
    <xf numFmtId="1" fontId="1" fillId="0" borderId="1" xfId="0" applyNumberFormat="1" applyFont="1" applyFill="1" applyBorder="1" applyAlignment="1">
      <alignment horizontal="center" vertical="center"/>
    </xf>
    <xf numFmtId="0" fontId="0" fillId="7" borderId="0" xfId="0" applyFill="1" applyBorder="1"/>
    <xf numFmtId="0" fontId="4" fillId="7" borderId="0" xfId="0" applyFont="1" applyFill="1" applyBorder="1"/>
    <xf numFmtId="0" fontId="19" fillId="7"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4" fillId="0" borderId="0" xfId="0" applyFont="1"/>
    <xf numFmtId="0" fontId="1" fillId="0" borderId="1" xfId="0" applyFont="1" applyBorder="1" applyAlignment="1">
      <alignment horizontal="center" vertical="center" wrapText="1"/>
    </xf>
    <xf numFmtId="0" fontId="25" fillId="0" borderId="0" xfId="0" applyFont="1" applyAlignment="1">
      <alignment horizontal="left" vertical="center"/>
    </xf>
    <xf numFmtId="0" fontId="19" fillId="0" borderId="1" xfId="0" applyFont="1" applyBorder="1"/>
    <xf numFmtId="0" fontId="19" fillId="0" borderId="0" xfId="0" applyFont="1" applyBorder="1" applyAlignment="1">
      <alignment horizontal="center" vertical="center" wrapText="1"/>
    </xf>
    <xf numFmtId="4" fontId="19" fillId="0" borderId="0" xfId="0" applyNumberFormat="1" applyFont="1" applyBorder="1" applyAlignment="1">
      <alignment horizontal="right" vertical="center"/>
    </xf>
    <xf numFmtId="4" fontId="4" fillId="0" borderId="1" xfId="0" applyNumberFormat="1" applyFont="1" applyFill="1" applyBorder="1" applyAlignment="1">
      <alignment horizontal="right" vertical="center"/>
    </xf>
    <xf numFmtId="0" fontId="24" fillId="0" borderId="0" xfId="0" applyFont="1" applyAlignment="1">
      <alignment horizontal="center" vertical="center"/>
    </xf>
    <xf numFmtId="0" fontId="19" fillId="0" borderId="0" xfId="0" applyFont="1" applyAlignment="1"/>
    <xf numFmtId="0" fontId="19" fillId="0" borderId="1"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vertical="center"/>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4" borderId="0" xfId="0" applyFont="1" applyFill="1" applyBorder="1" applyAlignment="1">
      <alignment horizontal="center" vertical="center"/>
    </xf>
    <xf numFmtId="0" fontId="1" fillId="7"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2" fillId="8" borderId="0" xfId="0" applyFont="1" applyFill="1" applyBorder="1" applyAlignment="1">
      <alignment vertical="center"/>
    </xf>
    <xf numFmtId="167" fontId="10" fillId="9" borderId="1" xfId="0" applyNumberFormat="1" applyFont="1" applyFill="1" applyBorder="1" applyAlignment="1">
      <alignment horizontal="center" vertical="center" wrapText="1"/>
    </xf>
    <xf numFmtId="0" fontId="19" fillId="0" borderId="0" xfId="0" applyFont="1" applyAlignment="1">
      <alignment horizontal="left" vertical="center" wrapText="1"/>
    </xf>
    <xf numFmtId="0" fontId="19" fillId="0" borderId="1" xfId="0" applyFont="1" applyBorder="1" applyAlignment="1">
      <alignment horizontal="left" vertical="center" wrapText="1"/>
    </xf>
    <xf numFmtId="4" fontId="4" fillId="0" borderId="0" xfId="0" applyNumberFormat="1" applyFont="1" applyFill="1" applyBorder="1" applyAlignment="1">
      <alignment horizontal="right" vertical="center"/>
    </xf>
    <xf numFmtId="0" fontId="4" fillId="0" borderId="0" xfId="0" applyFont="1" applyBorder="1" applyAlignment="1">
      <alignment horizontal="center" vertical="top" wrapText="1"/>
    </xf>
    <xf numFmtId="0" fontId="1" fillId="0" borderId="0" xfId="0" applyFont="1" applyBorder="1"/>
    <xf numFmtId="0" fontId="19" fillId="0" borderId="0" xfId="0" applyFont="1" applyBorder="1"/>
    <xf numFmtId="0" fontId="19" fillId="0" borderId="0" xfId="0" applyFont="1" applyFill="1" applyAlignment="1"/>
    <xf numFmtId="0" fontId="19" fillId="0" borderId="0" xfId="0" applyFont="1" applyFill="1"/>
    <xf numFmtId="4" fontId="24" fillId="0" borderId="0" xfId="0" applyNumberFormat="1" applyFont="1" applyFill="1"/>
    <xf numFmtId="0" fontId="24" fillId="0" borderId="0" xfId="0" applyFont="1" applyFill="1"/>
    <xf numFmtId="4" fontId="19" fillId="0" borderId="1" xfId="0" applyNumberFormat="1" applyFont="1" applyFill="1" applyBorder="1" applyAlignment="1">
      <alignment horizontal="right" vertical="center"/>
    </xf>
    <xf numFmtId="4" fontId="24" fillId="0" borderId="1" xfId="0" applyNumberFormat="1" applyFont="1" applyFill="1" applyBorder="1"/>
    <xf numFmtId="0" fontId="19" fillId="0" borderId="0" xfId="0" applyFont="1" applyFill="1" applyAlignment="1">
      <alignment horizontal="left" vertical="center" wrapText="1"/>
    </xf>
    <xf numFmtId="4" fontId="24" fillId="0" borderId="0" xfId="0" applyNumberFormat="1" applyFont="1" applyFill="1" applyBorder="1"/>
    <xf numFmtId="4" fontId="19" fillId="0" borderId="0" xfId="0" applyNumberFormat="1" applyFont="1" applyFill="1" applyBorder="1" applyAlignment="1">
      <alignment horizontal="right" vertical="center"/>
    </xf>
    <xf numFmtId="4" fontId="19" fillId="0" borderId="0" xfId="0" applyNumberFormat="1" applyFont="1" applyFill="1"/>
    <xf numFmtId="0" fontId="1" fillId="4" borderId="0" xfId="0" applyFont="1" applyFill="1" applyBorder="1" applyAlignment="1">
      <alignment horizontal="center" vertical="center" wrapText="1"/>
    </xf>
    <xf numFmtId="2" fontId="4" fillId="0" borderId="0" xfId="0" applyNumberFormat="1" applyFont="1" applyBorder="1"/>
    <xf numFmtId="170" fontId="1" fillId="0" borderId="1" xfId="0" applyNumberFormat="1" applyFont="1" applyFill="1" applyBorder="1" applyAlignment="1">
      <alignment horizontal="center" vertical="center"/>
    </xf>
    <xf numFmtId="169" fontId="1" fillId="0" borderId="1" xfId="0" applyNumberFormat="1" applyFont="1" applyFill="1" applyBorder="1" applyAlignment="1">
      <alignment horizontal="center" vertical="center"/>
    </xf>
    <xf numFmtId="0" fontId="4" fillId="0" borderId="4" xfId="0" applyFont="1" applyBorder="1" applyAlignment="1">
      <alignment horizontal="center" vertical="top" wrapText="1"/>
    </xf>
    <xf numFmtId="0" fontId="19" fillId="0" borderId="1" xfId="0" applyFont="1" applyBorder="1" applyAlignment="1">
      <alignment horizontal="left" vertical="center" wrapText="1"/>
    </xf>
    <xf numFmtId="0" fontId="1" fillId="9" borderId="1" xfId="0" applyFont="1" applyFill="1" applyBorder="1" applyAlignment="1">
      <alignment horizontal="center" vertical="center"/>
    </xf>
    <xf numFmtId="0" fontId="1" fillId="9" borderId="0" xfId="0" applyFont="1" applyFill="1" applyBorder="1" applyAlignment="1">
      <alignment horizontal="center" vertical="center"/>
    </xf>
    <xf numFmtId="17" fontId="1" fillId="9" borderId="0" xfId="0" applyNumberFormat="1" applyFont="1" applyFill="1" applyBorder="1" applyAlignment="1">
      <alignment horizontal="center" vertical="center"/>
    </xf>
    <xf numFmtId="0" fontId="19" fillId="9" borderId="4" xfId="0" applyFont="1" applyFill="1" applyBorder="1" applyAlignment="1">
      <alignment horizontal="center" vertical="center" wrapText="1"/>
    </xf>
    <xf numFmtId="0" fontId="19" fillId="9" borderId="5" xfId="0" applyFont="1" applyFill="1" applyBorder="1" applyAlignment="1">
      <alignment horizontal="left" vertical="center" wrapText="1"/>
    </xf>
    <xf numFmtId="0" fontId="1" fillId="9" borderId="0" xfId="0" applyFont="1" applyFill="1" applyBorder="1" applyAlignment="1">
      <alignment horizontal="center" vertical="center" wrapText="1"/>
    </xf>
    <xf numFmtId="0" fontId="19" fillId="0" borderId="0" xfId="0" applyFont="1" applyBorder="1" applyAlignment="1">
      <alignment vertical="center" wrapText="1"/>
    </xf>
    <xf numFmtId="2" fontId="1" fillId="9" borderId="0" xfId="0" applyNumberFormat="1" applyFont="1" applyFill="1" applyBorder="1" applyAlignment="1">
      <alignment horizontal="center" vertical="center"/>
    </xf>
    <xf numFmtId="0" fontId="19" fillId="0" borderId="1" xfId="0" applyFont="1" applyBorder="1" applyAlignment="1">
      <alignment vertical="center" wrapText="1"/>
    </xf>
    <xf numFmtId="0" fontId="26" fillId="0" borderId="0" xfId="0" applyFont="1"/>
    <xf numFmtId="0" fontId="2" fillId="0" borderId="0" xfId="0" applyFont="1" applyFill="1" applyBorder="1" applyAlignment="1">
      <alignment horizontal="center" vertical="center"/>
    </xf>
    <xf numFmtId="49" fontId="2" fillId="0" borderId="0" xfId="0" applyNumberFormat="1" applyFont="1" applyFill="1" applyBorder="1" applyAlignment="1">
      <alignment horizontal="left" vertical="center" wrapText="1"/>
    </xf>
    <xf numFmtId="0" fontId="3" fillId="0" borderId="0" xfId="0" applyFont="1" applyFill="1" applyAlignment="1">
      <alignment vertical="center"/>
    </xf>
    <xf numFmtId="43" fontId="10" fillId="0" borderId="0" xfId="3" applyFont="1" applyFill="1" applyBorder="1" applyAlignment="1">
      <alignment horizontal="center" vertical="center" wrapText="1"/>
    </xf>
    <xf numFmtId="43" fontId="2" fillId="4" borderId="0" xfId="3" applyFont="1" applyFill="1" applyBorder="1" applyAlignment="1">
      <alignment horizontal="center" vertical="center" wrapText="1"/>
    </xf>
    <xf numFmtId="43" fontId="10" fillId="4" borderId="0" xfId="3" applyFont="1" applyFill="1" applyBorder="1" applyAlignment="1">
      <alignment horizontal="center" vertical="center" wrapText="1"/>
    </xf>
    <xf numFmtId="49" fontId="10" fillId="9" borderId="0" xfId="0" applyNumberFormat="1" applyFont="1" applyFill="1" applyBorder="1" applyAlignment="1">
      <alignment horizontal="left" vertical="center" wrapText="1"/>
    </xf>
    <xf numFmtId="165" fontId="23" fillId="4" borderId="1" xfId="0" applyNumberFormat="1" applyFont="1" applyFill="1" applyBorder="1"/>
    <xf numFmtId="165" fontId="23" fillId="0" borderId="0" xfId="0" applyNumberFormat="1" applyFont="1"/>
    <xf numFmtId="43" fontId="23" fillId="0" borderId="0" xfId="3" applyFont="1"/>
    <xf numFmtId="43" fontId="15" fillId="0" borderId="0" xfId="3" applyFont="1" applyFill="1" applyBorder="1" applyAlignment="1">
      <alignment vertical="center"/>
    </xf>
    <xf numFmtId="43" fontId="10" fillId="0" borderId="0" xfId="0" applyNumberFormat="1" applyFont="1" applyFill="1" applyBorder="1" applyAlignment="1">
      <alignment vertical="center"/>
    </xf>
    <xf numFmtId="43" fontId="2" fillId="0" borderId="0" xfId="3" applyFont="1" applyFill="1" applyBorder="1" applyAlignment="1">
      <alignment horizontal="center" vertical="center" wrapText="1"/>
    </xf>
    <xf numFmtId="43" fontId="27" fillId="0" borderId="0" xfId="0" applyNumberFormat="1" applyFont="1" applyFill="1"/>
    <xf numFmtId="0" fontId="23" fillId="0" borderId="0" xfId="0" applyFont="1" applyFill="1"/>
    <xf numFmtId="43" fontId="27" fillId="10" borderId="0" xfId="0" applyNumberFormat="1" applyFont="1" applyFill="1" applyAlignment="1">
      <alignment horizontal="center" vertical="center"/>
    </xf>
    <xf numFmtId="43" fontId="27" fillId="0" borderId="0" xfId="0" applyNumberFormat="1" applyFont="1" applyFill="1" applyAlignment="1">
      <alignment horizontal="center" vertical="center"/>
    </xf>
    <xf numFmtId="43" fontId="10" fillId="11" borderId="0" xfId="3" applyFont="1" applyFill="1" applyBorder="1" applyAlignment="1">
      <alignment horizontal="center" vertical="center" wrapText="1"/>
    </xf>
    <xf numFmtId="43" fontId="27" fillId="8" borderId="0" xfId="0" applyNumberFormat="1" applyFont="1" applyFill="1" applyAlignment="1">
      <alignment horizontal="center" vertical="center"/>
    </xf>
    <xf numFmtId="43" fontId="27" fillId="9" borderId="0" xfId="0" applyNumberFormat="1" applyFont="1" applyFill="1" applyAlignment="1">
      <alignment horizontal="center" vertical="center"/>
    </xf>
    <xf numFmtId="43" fontId="10" fillId="7" borderId="0" xfId="3" applyFont="1" applyFill="1" applyBorder="1" applyAlignment="1">
      <alignment horizontal="center" vertical="center" wrapText="1"/>
    </xf>
    <xf numFmtId="0" fontId="28" fillId="0" borderId="0" xfId="0" applyFont="1" applyFill="1" applyBorder="1" applyAlignment="1">
      <alignment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xf>
    <xf numFmtId="0" fontId="28" fillId="0" borderId="5" xfId="0" applyFont="1" applyFill="1" applyBorder="1" applyAlignment="1">
      <alignment vertical="center" wrapText="1"/>
    </xf>
    <xf numFmtId="0" fontId="28" fillId="0" borderId="3" xfId="0" applyFont="1" applyFill="1" applyBorder="1" applyAlignment="1">
      <alignment vertical="center"/>
    </xf>
    <xf numFmtId="0" fontId="28" fillId="0" borderId="5" xfId="0" applyFont="1" applyFill="1" applyBorder="1" applyAlignment="1">
      <alignment vertical="center"/>
    </xf>
    <xf numFmtId="0" fontId="28" fillId="0" borderId="3" xfId="0" applyFont="1" applyFill="1" applyBorder="1" applyAlignment="1">
      <alignment vertical="center" wrapText="1"/>
    </xf>
    <xf numFmtId="0" fontId="28" fillId="0" borderId="6" xfId="0" applyFont="1" applyFill="1" applyBorder="1" applyAlignment="1">
      <alignment vertical="center" wrapText="1"/>
    </xf>
    <xf numFmtId="0" fontId="28" fillId="0" borderId="7"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7"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shrinkToFit="1"/>
    </xf>
    <xf numFmtId="167" fontId="28" fillId="2" borderId="1" xfId="0" applyNumberFormat="1" applyFont="1" applyFill="1" applyBorder="1" applyAlignment="1">
      <alignment horizontal="center" vertical="center" wrapText="1"/>
    </xf>
    <xf numFmtId="167" fontId="28" fillId="0" borderId="1" xfId="0" applyNumberFormat="1" applyFont="1" applyFill="1" applyBorder="1" applyAlignment="1">
      <alignment horizontal="center" vertical="center" wrapText="1"/>
    </xf>
    <xf numFmtId="167" fontId="27" fillId="2" borderId="1" xfId="0" applyNumberFormat="1" applyFont="1" applyFill="1" applyBorder="1" applyAlignment="1">
      <alignment horizontal="center" vertical="center" wrapText="1"/>
    </xf>
    <xf numFmtId="167" fontId="28" fillId="6" borderId="1" xfId="0" applyNumberFormat="1" applyFont="1" applyFill="1" applyBorder="1" applyAlignment="1">
      <alignment horizontal="center" vertical="center" wrapText="1"/>
    </xf>
    <xf numFmtId="167" fontId="27" fillId="6" borderId="1" xfId="0" applyNumberFormat="1" applyFont="1" applyFill="1" applyBorder="1" applyAlignment="1">
      <alignment horizontal="center" vertical="center" wrapText="1"/>
    </xf>
    <xf numFmtId="166" fontId="28" fillId="0" borderId="1" xfId="0" applyNumberFormat="1"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5" xfId="0" applyFont="1" applyFill="1" applyBorder="1" applyAlignment="1">
      <alignment vertical="center" wrapText="1"/>
    </xf>
    <xf numFmtId="167" fontId="27" fillId="3"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right" vertical="center" wrapText="1"/>
    </xf>
    <xf numFmtId="168" fontId="29" fillId="0" borderId="0" xfId="0" applyNumberFormat="1" applyFont="1" applyFill="1" applyBorder="1" applyAlignment="1">
      <alignment vertical="center"/>
    </xf>
    <xf numFmtId="0" fontId="30" fillId="0" borderId="0" xfId="0" applyFont="1" applyFill="1" applyAlignment="1">
      <alignment horizontal="left" vertical="center"/>
    </xf>
    <xf numFmtId="0" fontId="28" fillId="0" borderId="0" xfId="0" applyFont="1" applyFill="1" applyBorder="1" applyAlignment="1">
      <alignment horizontal="center" vertical="center"/>
    </xf>
    <xf numFmtId="43" fontId="31" fillId="0" borderId="0" xfId="0" applyNumberFormat="1" applyFont="1" applyFill="1" applyBorder="1" applyAlignment="1">
      <alignment horizontal="left" vertical="center" wrapText="1"/>
    </xf>
    <xf numFmtId="2" fontId="10" fillId="12" borderId="0" xfId="0" applyNumberFormat="1" applyFont="1" applyFill="1" applyBorder="1" applyAlignment="1">
      <alignment vertical="center"/>
    </xf>
    <xf numFmtId="2" fontId="10" fillId="12" borderId="0" xfId="0" applyNumberFormat="1" applyFont="1" applyFill="1" applyAlignment="1">
      <alignment vertical="center"/>
    </xf>
    <xf numFmtId="49" fontId="10" fillId="12" borderId="0" xfId="0" applyNumberFormat="1" applyFont="1" applyFill="1" applyBorder="1" applyAlignment="1">
      <alignment horizontal="left" vertical="center" wrapText="1"/>
    </xf>
    <xf numFmtId="2" fontId="10" fillId="12" borderId="0" xfId="0" applyNumberFormat="1" applyFont="1" applyFill="1" applyBorder="1" applyAlignment="1">
      <alignment horizontal="left" vertical="center" wrapText="1"/>
    </xf>
    <xf numFmtId="164" fontId="10" fillId="12" borderId="0" xfId="0" applyNumberFormat="1" applyFont="1" applyFill="1" applyAlignment="1">
      <alignment vertical="center"/>
    </xf>
    <xf numFmtId="0" fontId="10" fillId="12" borderId="0" xfId="0" applyFont="1" applyFill="1" applyAlignment="1">
      <alignment vertical="center"/>
    </xf>
    <xf numFmtId="164" fontId="10" fillId="12" borderId="0" xfId="0" applyNumberFormat="1" applyFont="1" applyFill="1" applyBorder="1" applyAlignment="1">
      <alignment vertical="center"/>
    </xf>
    <xf numFmtId="49" fontId="10" fillId="0" borderId="0" xfId="0" applyNumberFormat="1" applyFont="1" applyFill="1" applyAlignment="1">
      <alignment vertical="center"/>
    </xf>
    <xf numFmtId="171" fontId="10" fillId="0" borderId="0" xfId="0" applyNumberFormat="1" applyFont="1" applyFill="1" applyBorder="1" applyAlignment="1">
      <alignment vertical="center"/>
    </xf>
    <xf numFmtId="0" fontId="17" fillId="0" borderId="0" xfId="0" applyFont="1" applyFill="1" applyBorder="1" applyAlignment="1">
      <alignment vertical="center"/>
    </xf>
    <xf numFmtId="43" fontId="10" fillId="0" borderId="1" xfId="3" applyNumberFormat="1" applyFont="1" applyFill="1" applyBorder="1" applyAlignment="1">
      <alignment vertical="center"/>
    </xf>
    <xf numFmtId="0" fontId="10" fillId="0" borderId="3" xfId="0" applyFont="1" applyFill="1" applyBorder="1" applyAlignment="1">
      <alignment horizontal="left" vertical="center" wrapText="1"/>
    </xf>
    <xf numFmtId="168" fontId="10" fillId="0" borderId="0"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7" fillId="0" borderId="9" xfId="0" applyFont="1" applyFill="1" applyBorder="1" applyAlignment="1">
      <alignment horizontal="center" vertical="center"/>
    </xf>
    <xf numFmtId="166" fontId="10"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9" fillId="0" borderId="0" xfId="0" applyFont="1" applyAlignment="1">
      <alignment horizontal="left" vertical="center" wrapText="1"/>
    </xf>
    <xf numFmtId="0" fontId="19" fillId="0" borderId="4" xfId="0" applyFont="1" applyBorder="1" applyAlignment="1">
      <alignment horizontal="left"/>
    </xf>
    <xf numFmtId="0" fontId="19" fillId="0" borderId="5" xfId="0" applyFont="1" applyBorder="1" applyAlignment="1">
      <alignment horizontal="left"/>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27" fillId="0" borderId="0" xfId="0" applyFont="1" applyAlignment="1">
      <alignment horizontal="center"/>
    </xf>
    <xf numFmtId="0" fontId="28" fillId="0" borderId="0" xfId="0" applyFont="1" applyAlignment="1">
      <alignment horizont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7"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1" fillId="0"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left" vertical="center" wrapText="1"/>
    </xf>
    <xf numFmtId="168" fontId="10" fillId="0" borderId="0"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1" xfId="0" applyBorder="1" applyAlignment="1">
      <alignment vertical="center"/>
    </xf>
    <xf numFmtId="0" fontId="10" fillId="2" borderId="4" xfId="3" applyNumberFormat="1" applyFont="1" applyFill="1" applyBorder="1" applyAlignment="1">
      <alignment horizontal="center" vertical="center" wrapText="1"/>
    </xf>
    <xf numFmtId="0" fontId="10" fillId="2" borderId="5" xfId="3"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167" fontId="10" fillId="2" borderId="4" xfId="0" applyNumberFormat="1" applyFont="1" applyFill="1" applyBorder="1" applyAlignment="1">
      <alignment horizontal="center" vertical="center" wrapText="1"/>
    </xf>
    <xf numFmtId="167" fontId="10" fillId="2" borderId="5" xfId="0" applyNumberFormat="1" applyFont="1" applyFill="1" applyBorder="1" applyAlignment="1">
      <alignment horizontal="center" vertical="center" wrapText="1"/>
    </xf>
    <xf numFmtId="0" fontId="0" fillId="0" borderId="0" xfId="0" applyAlignment="1">
      <alignment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0" fillId="0" borderId="5" xfId="0" applyNumberFormat="1" applyBorder="1" applyAlignment="1">
      <alignment horizontal="center" vertical="center"/>
    </xf>
    <xf numFmtId="167" fontId="10"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0" fillId="6" borderId="4" xfId="0" applyNumberFormat="1" applyFont="1" applyFill="1" applyBorder="1" applyAlignment="1">
      <alignment horizontal="center" vertical="center" wrapText="1"/>
    </xf>
    <xf numFmtId="0" fontId="10" fillId="6" borderId="5"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2" fillId="2" borderId="4"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4" xfId="0" applyNumberFormat="1" applyFont="1" applyFill="1" applyBorder="1" applyAlignment="1">
      <alignment horizontal="center" wrapText="1"/>
    </xf>
    <xf numFmtId="0" fontId="2" fillId="2" borderId="5" xfId="0" applyNumberFormat="1" applyFont="1" applyFill="1" applyBorder="1" applyAlignment="1">
      <alignment horizontal="center" wrapText="1"/>
    </xf>
    <xf numFmtId="167" fontId="10" fillId="0" borderId="4" xfId="0" applyNumberFormat="1" applyFont="1" applyFill="1" applyBorder="1" applyAlignment="1">
      <alignment horizontal="center" vertical="center" wrapText="1"/>
    </xf>
    <xf numFmtId="0" fontId="0" fillId="0" borderId="5" xfId="0" applyBorder="1" applyAlignment="1">
      <alignment vertical="center"/>
    </xf>
    <xf numFmtId="0" fontId="10" fillId="2" borderId="4" xfId="0" applyNumberFormat="1" applyFont="1" applyFill="1" applyBorder="1" applyAlignment="1">
      <alignment horizontal="center" vertical="center" wrapText="1"/>
    </xf>
    <xf numFmtId="0" fontId="0" fillId="0" borderId="5" xfId="0" applyNumberFormat="1" applyBorder="1" applyAlignment="1">
      <alignment horizontal="center" vertical="center" wrapText="1"/>
    </xf>
    <xf numFmtId="0" fontId="0" fillId="0" borderId="1" xfId="0" applyNumberFormat="1" applyBorder="1" applyAlignment="1">
      <alignment vertical="center"/>
    </xf>
    <xf numFmtId="0" fontId="10" fillId="2" borderId="5" xfId="0" applyNumberFormat="1" applyFont="1" applyFill="1" applyBorder="1" applyAlignment="1">
      <alignment horizontal="center" vertical="center" wrapText="1"/>
    </xf>
    <xf numFmtId="0" fontId="2" fillId="6" borderId="4" xfId="0" applyNumberFormat="1" applyFont="1" applyFill="1" applyBorder="1" applyAlignment="1">
      <alignment horizontal="center" vertical="center" wrapText="1"/>
    </xf>
    <xf numFmtId="0" fontId="2" fillId="6"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167" fontId="10"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167" fontId="10" fillId="6" borderId="4"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166" fontId="10" fillId="6" borderId="4" xfId="0" applyNumberFormat="1" applyFont="1" applyFill="1" applyBorder="1" applyAlignment="1">
      <alignment horizontal="center" vertical="center" wrapText="1"/>
    </xf>
    <xf numFmtId="166" fontId="10" fillId="0" borderId="5" xfId="0" applyNumberFormat="1" applyFont="1" applyFill="1" applyBorder="1" applyAlignment="1">
      <alignment horizontal="center" vertical="center" wrapText="1"/>
    </xf>
    <xf numFmtId="167" fontId="10" fillId="6" borderId="5" xfId="0" applyNumberFormat="1" applyFont="1" applyFill="1" applyBorder="1" applyAlignment="1">
      <alignment horizontal="center" vertical="center" wrapText="1"/>
    </xf>
    <xf numFmtId="167" fontId="2" fillId="2" borderId="5"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3" fontId="15" fillId="0" borderId="0" xfId="3" applyFont="1" applyFill="1" applyBorder="1" applyAlignment="1">
      <alignment horizontal="center" vertical="center"/>
    </xf>
    <xf numFmtId="0" fontId="28" fillId="0" borderId="2" xfId="0" applyFont="1" applyFill="1" applyBorder="1" applyAlignment="1">
      <alignment horizontal="center" vertical="center"/>
    </xf>
    <xf numFmtId="0" fontId="30" fillId="0" borderId="0" xfId="0" applyFont="1" applyFill="1" applyAlignment="1">
      <alignment horizontal="center" vertical="center"/>
    </xf>
    <xf numFmtId="0" fontId="28"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32" fillId="0" borderId="5" xfId="0" applyNumberFormat="1" applyFont="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cellXfs>
  <cellStyles count="4">
    <cellStyle name="Звичайний 2" xfId="1"/>
    <cellStyle name="Обычный" xfId="0" builtinId="0"/>
    <cellStyle name="Обычный 2 2" xfId="2"/>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7"/>
  <sheetViews>
    <sheetView topLeftCell="A118" zoomScale="90" zoomScaleNormal="90" workbookViewId="0">
      <selection activeCell="F10" sqref="F10"/>
    </sheetView>
  </sheetViews>
  <sheetFormatPr defaultColWidth="9.140625" defaultRowHeight="15.75" x14ac:dyDescent="0.25"/>
  <cols>
    <col min="1" max="1" width="13.7109375" style="22" bestFit="1" customWidth="1"/>
    <col min="2" max="2" width="86.5703125" style="22" customWidth="1"/>
    <col min="3" max="3" width="34" style="22" customWidth="1"/>
    <col min="4" max="4" width="16.85546875" style="22" customWidth="1"/>
    <col min="5" max="5" width="14.28515625" style="133" bestFit="1" customWidth="1"/>
    <col min="6" max="6" width="15.28515625" style="133" customWidth="1"/>
    <col min="7" max="7" width="15.28515625" style="22" customWidth="1"/>
    <col min="8" max="16384" width="9.140625" style="22"/>
  </cols>
  <sheetData>
    <row r="2" spans="1:7" ht="18.75" x14ac:dyDescent="0.3">
      <c r="B2" s="242" t="s">
        <v>265</v>
      </c>
      <c r="C2" s="242"/>
      <c r="D2" s="242"/>
      <c r="E2" s="132"/>
      <c r="F2" s="132"/>
      <c r="G2" s="115"/>
    </row>
    <row r="3" spans="1:7" ht="18.75" x14ac:dyDescent="0.3">
      <c r="B3" s="243" t="s">
        <v>266</v>
      </c>
      <c r="C3" s="243"/>
      <c r="D3" s="243"/>
    </row>
    <row r="4" spans="1:7" ht="18.75" x14ac:dyDescent="0.3">
      <c r="B4" s="243" t="s">
        <v>313</v>
      </c>
      <c r="C4" s="243"/>
      <c r="D4" s="243"/>
      <c r="E4" s="132"/>
      <c r="F4" s="132"/>
      <c r="G4" s="115"/>
    </row>
    <row r="6" spans="1:7" s="107" customFormat="1" x14ac:dyDescent="0.25">
      <c r="E6" s="134"/>
      <c r="F6" s="135"/>
    </row>
    <row r="7" spans="1:7" s="107" customFormat="1" x14ac:dyDescent="0.25">
      <c r="A7" s="109" t="s">
        <v>267</v>
      </c>
      <c r="B7" s="114">
        <v>141</v>
      </c>
      <c r="D7" s="109"/>
      <c r="E7" s="135"/>
      <c r="F7" s="135"/>
    </row>
    <row r="8" spans="1:7" x14ac:dyDescent="0.25">
      <c r="A8" s="109" t="s">
        <v>270</v>
      </c>
      <c r="B8" s="235" t="s">
        <v>271</v>
      </c>
      <c r="C8" s="235"/>
      <c r="D8" s="235"/>
      <c r="E8" s="235"/>
    </row>
    <row r="9" spans="1:7" ht="19.5" customHeight="1" x14ac:dyDescent="0.25">
      <c r="D9" s="10" t="s">
        <v>269</v>
      </c>
    </row>
    <row r="10" spans="1:7" ht="16.5" customHeight="1" x14ac:dyDescent="0.25">
      <c r="B10" s="240" t="s">
        <v>78</v>
      </c>
      <c r="C10" s="241"/>
      <c r="D10" s="108" t="s">
        <v>46</v>
      </c>
      <c r="E10" s="136">
        <v>10000</v>
      </c>
    </row>
    <row r="11" spans="1:7" x14ac:dyDescent="0.25">
      <c r="B11" s="240" t="s">
        <v>48</v>
      </c>
      <c r="C11" s="241"/>
      <c r="D11" s="108" t="s">
        <v>47</v>
      </c>
      <c r="E11" s="136">
        <v>2000</v>
      </c>
    </row>
    <row r="12" spans="1:7" ht="15" customHeight="1" x14ac:dyDescent="0.25">
      <c r="B12" s="240" t="s">
        <v>79</v>
      </c>
      <c r="C12" s="241"/>
      <c r="D12" s="108" t="s">
        <v>49</v>
      </c>
      <c r="E12" s="136">
        <v>4000</v>
      </c>
    </row>
    <row r="13" spans="1:7" ht="16.5" customHeight="1" x14ac:dyDescent="0.25">
      <c r="B13" s="240" t="s">
        <v>80</v>
      </c>
      <c r="C13" s="241"/>
      <c r="D13" s="108" t="s">
        <v>81</v>
      </c>
      <c r="E13" s="136">
        <v>4000</v>
      </c>
    </row>
    <row r="14" spans="1:7" ht="17.25" customHeight="1" x14ac:dyDescent="0.25">
      <c r="B14" s="240" t="s">
        <v>123</v>
      </c>
      <c r="C14" s="241"/>
      <c r="D14" s="108" t="s">
        <v>82</v>
      </c>
      <c r="E14" s="136">
        <v>50000</v>
      </c>
    </row>
    <row r="15" spans="1:7" ht="33" customHeight="1" x14ac:dyDescent="0.25">
      <c r="B15" s="240" t="s">
        <v>83</v>
      </c>
      <c r="C15" s="241"/>
      <c r="D15" s="108" t="s">
        <v>50</v>
      </c>
      <c r="E15" s="136">
        <v>250000</v>
      </c>
    </row>
    <row r="16" spans="1:7" ht="192.75" customHeight="1" x14ac:dyDescent="0.25">
      <c r="B16" s="240" t="s">
        <v>268</v>
      </c>
      <c r="C16" s="241"/>
      <c r="D16" s="108" t="s">
        <v>69</v>
      </c>
      <c r="E16" s="136">
        <v>200000</v>
      </c>
    </row>
    <row r="17" spans="1:5" x14ac:dyDescent="0.25">
      <c r="B17" s="240" t="s">
        <v>84</v>
      </c>
      <c r="C17" s="241"/>
      <c r="D17" s="108" t="s">
        <v>85</v>
      </c>
      <c r="E17" s="136">
        <v>10000</v>
      </c>
    </row>
    <row r="18" spans="1:5" x14ac:dyDescent="0.25">
      <c r="B18" s="238" t="s">
        <v>45</v>
      </c>
      <c r="C18" s="239"/>
      <c r="D18" s="15"/>
      <c r="E18" s="137">
        <f>SUM(E10:E17)</f>
        <v>530000</v>
      </c>
    </row>
    <row r="22" spans="1:5" x14ac:dyDescent="0.25">
      <c r="A22" s="109" t="s">
        <v>267</v>
      </c>
      <c r="B22" s="114" t="s">
        <v>273</v>
      </c>
    </row>
    <row r="23" spans="1:5" ht="15.75" customHeight="1" x14ac:dyDescent="0.25">
      <c r="A23" s="109" t="s">
        <v>270</v>
      </c>
      <c r="B23" s="235" t="s">
        <v>192</v>
      </c>
      <c r="C23" s="235"/>
      <c r="D23" s="235"/>
      <c r="E23" s="235"/>
    </row>
    <row r="24" spans="1:5" ht="15.75" customHeight="1" x14ac:dyDescent="0.25">
      <c r="A24" s="109"/>
      <c r="B24" s="126"/>
      <c r="C24" s="126"/>
      <c r="D24" s="10" t="s">
        <v>269</v>
      </c>
      <c r="E24" s="138"/>
    </row>
    <row r="25" spans="1:5" x14ac:dyDescent="0.25">
      <c r="B25" s="240" t="s">
        <v>70</v>
      </c>
      <c r="C25" s="241"/>
      <c r="D25" s="108" t="s">
        <v>11</v>
      </c>
      <c r="E25" s="136">
        <v>6000</v>
      </c>
    </row>
    <row r="26" spans="1:5" x14ac:dyDescent="0.25">
      <c r="B26" s="240" t="s">
        <v>13</v>
      </c>
      <c r="C26" s="241"/>
      <c r="D26" s="108" t="s">
        <v>12</v>
      </c>
      <c r="E26" s="136">
        <v>1000</v>
      </c>
    </row>
    <row r="27" spans="1:5" x14ac:dyDescent="0.25">
      <c r="B27" s="240" t="s">
        <v>15</v>
      </c>
      <c r="C27" s="241"/>
      <c r="D27" s="108" t="s">
        <v>14</v>
      </c>
      <c r="E27" s="136">
        <v>40000</v>
      </c>
    </row>
    <row r="28" spans="1:5" x14ac:dyDescent="0.25">
      <c r="B28" s="240" t="s">
        <v>74</v>
      </c>
      <c r="C28" s="241"/>
      <c r="D28" s="108" t="s">
        <v>16</v>
      </c>
      <c r="E28" s="136">
        <v>40000</v>
      </c>
    </row>
    <row r="29" spans="1:5" x14ac:dyDescent="0.25">
      <c r="B29" s="240" t="s">
        <v>18</v>
      </c>
      <c r="C29" s="241"/>
      <c r="D29" s="108" t="s">
        <v>17</v>
      </c>
      <c r="E29" s="136">
        <v>30000</v>
      </c>
    </row>
    <row r="30" spans="1:5" x14ac:dyDescent="0.25">
      <c r="B30" s="240" t="s">
        <v>20</v>
      </c>
      <c r="C30" s="241"/>
      <c r="D30" s="108" t="s">
        <v>19</v>
      </c>
      <c r="E30" s="136">
        <v>8000</v>
      </c>
    </row>
    <row r="31" spans="1:5" x14ac:dyDescent="0.25">
      <c r="B31" s="240" t="s">
        <v>22</v>
      </c>
      <c r="C31" s="241"/>
      <c r="D31" s="108" t="s">
        <v>21</v>
      </c>
      <c r="E31" s="136">
        <v>2000</v>
      </c>
    </row>
    <row r="32" spans="1:5" x14ac:dyDescent="0.25">
      <c r="B32" s="240" t="s">
        <v>24</v>
      </c>
      <c r="C32" s="241"/>
      <c r="D32" s="108" t="s">
        <v>23</v>
      </c>
      <c r="E32" s="136">
        <v>4000</v>
      </c>
    </row>
    <row r="33" spans="1:5" x14ac:dyDescent="0.25">
      <c r="B33" s="240" t="s">
        <v>26</v>
      </c>
      <c r="C33" s="241"/>
      <c r="D33" s="108" t="s">
        <v>25</v>
      </c>
      <c r="E33" s="136">
        <v>4000</v>
      </c>
    </row>
    <row r="34" spans="1:5" x14ac:dyDescent="0.25">
      <c r="B34" s="240" t="s">
        <v>28</v>
      </c>
      <c r="C34" s="241"/>
      <c r="D34" s="108" t="s">
        <v>27</v>
      </c>
      <c r="E34" s="136">
        <v>40000</v>
      </c>
    </row>
    <row r="35" spans="1:5" x14ac:dyDescent="0.25">
      <c r="B35" s="240" t="s">
        <v>30</v>
      </c>
      <c r="C35" s="241"/>
      <c r="D35" s="108" t="s">
        <v>29</v>
      </c>
      <c r="E35" s="136">
        <v>10000</v>
      </c>
    </row>
    <row r="36" spans="1:5" x14ac:dyDescent="0.25">
      <c r="B36" s="240" t="s">
        <v>7</v>
      </c>
      <c r="C36" s="241"/>
      <c r="D36" s="108" t="s">
        <v>6</v>
      </c>
      <c r="E36" s="136">
        <v>40000</v>
      </c>
    </row>
    <row r="37" spans="1:5" x14ac:dyDescent="0.25">
      <c r="B37" s="240" t="s">
        <v>32</v>
      </c>
      <c r="C37" s="241"/>
      <c r="D37" s="108" t="s">
        <v>31</v>
      </c>
      <c r="E37" s="136">
        <v>4000</v>
      </c>
    </row>
    <row r="38" spans="1:5" x14ac:dyDescent="0.25">
      <c r="B38" s="240" t="s">
        <v>65</v>
      </c>
      <c r="C38" s="241"/>
      <c r="D38" s="108" t="s">
        <v>33</v>
      </c>
      <c r="E38" s="136">
        <v>10000</v>
      </c>
    </row>
    <row r="39" spans="1:5" x14ac:dyDescent="0.25">
      <c r="B39" s="240" t="s">
        <v>35</v>
      </c>
      <c r="C39" s="241"/>
      <c r="D39" s="108" t="s">
        <v>34</v>
      </c>
      <c r="E39" s="136">
        <v>6000</v>
      </c>
    </row>
    <row r="40" spans="1:5" x14ac:dyDescent="0.25">
      <c r="B40" s="240" t="s">
        <v>66</v>
      </c>
      <c r="C40" s="241"/>
      <c r="D40" s="108" t="s">
        <v>36</v>
      </c>
      <c r="E40" s="136">
        <v>20000</v>
      </c>
    </row>
    <row r="41" spans="1:5" x14ac:dyDescent="0.25">
      <c r="B41" s="240" t="s">
        <v>44</v>
      </c>
      <c r="C41" s="241"/>
      <c r="D41" s="108" t="s">
        <v>43</v>
      </c>
      <c r="E41" s="136">
        <v>4000</v>
      </c>
    </row>
    <row r="42" spans="1:5" x14ac:dyDescent="0.25">
      <c r="B42" s="240" t="s">
        <v>38</v>
      </c>
      <c r="C42" s="241"/>
      <c r="D42" s="108" t="s">
        <v>37</v>
      </c>
      <c r="E42" s="136">
        <v>6000</v>
      </c>
    </row>
    <row r="43" spans="1:5" x14ac:dyDescent="0.25">
      <c r="B43" s="240" t="s">
        <v>40</v>
      </c>
      <c r="C43" s="241"/>
      <c r="D43" s="108" t="s">
        <v>39</v>
      </c>
      <c r="E43" s="136">
        <v>10000</v>
      </c>
    </row>
    <row r="44" spans="1:5" x14ac:dyDescent="0.25">
      <c r="B44" s="240" t="s">
        <v>42</v>
      </c>
      <c r="C44" s="241"/>
      <c r="D44" s="108" t="s">
        <v>41</v>
      </c>
      <c r="E44" s="136">
        <v>1000</v>
      </c>
    </row>
    <row r="45" spans="1:5" x14ac:dyDescent="0.25">
      <c r="B45" s="238" t="s">
        <v>45</v>
      </c>
      <c r="C45" s="239"/>
      <c r="D45" s="15"/>
      <c r="E45" s="137">
        <f>SUM(E25:E44)</f>
        <v>286000</v>
      </c>
    </row>
    <row r="47" spans="1:5" x14ac:dyDescent="0.25">
      <c r="A47" s="109" t="s">
        <v>267</v>
      </c>
      <c r="B47" s="114" t="s">
        <v>274</v>
      </c>
    </row>
    <row r="48" spans="1:5" x14ac:dyDescent="0.25">
      <c r="A48" s="109" t="s">
        <v>270</v>
      </c>
      <c r="B48" s="235" t="s">
        <v>275</v>
      </c>
      <c r="C48" s="235"/>
      <c r="D48" s="235"/>
      <c r="E48" s="235"/>
    </row>
    <row r="49" spans="1:7" x14ac:dyDescent="0.25">
      <c r="A49" s="109"/>
      <c r="B49" s="126"/>
      <c r="C49" s="126"/>
      <c r="D49" s="10" t="s">
        <v>269</v>
      </c>
      <c r="E49" s="138"/>
    </row>
    <row r="50" spans="1:7" x14ac:dyDescent="0.25">
      <c r="B50" s="240" t="s">
        <v>10</v>
      </c>
      <c r="C50" s="241"/>
      <c r="D50" s="108" t="s">
        <v>9</v>
      </c>
      <c r="E50" s="136">
        <v>400000</v>
      </c>
    </row>
    <row r="51" spans="1:7" x14ac:dyDescent="0.25">
      <c r="B51" s="240" t="s">
        <v>272</v>
      </c>
      <c r="C51" s="241"/>
      <c r="D51" s="108" t="s">
        <v>8</v>
      </c>
      <c r="E51" s="136">
        <v>4000</v>
      </c>
    </row>
    <row r="52" spans="1:7" x14ac:dyDescent="0.25">
      <c r="B52" s="238" t="s">
        <v>45</v>
      </c>
      <c r="C52" s="239"/>
      <c r="D52" s="15"/>
      <c r="E52" s="137">
        <f>SUM(E50:E51)</f>
        <v>404000</v>
      </c>
    </row>
    <row r="53" spans="1:7" x14ac:dyDescent="0.25">
      <c r="B53" s="129"/>
      <c r="C53" s="129"/>
      <c r="D53" s="130"/>
      <c r="E53" s="139"/>
    </row>
    <row r="54" spans="1:7" x14ac:dyDescent="0.25">
      <c r="A54" s="109" t="s">
        <v>267</v>
      </c>
      <c r="B54" s="114" t="s">
        <v>309</v>
      </c>
    </row>
    <row r="55" spans="1:7" x14ac:dyDescent="0.25">
      <c r="A55" s="109" t="s">
        <v>270</v>
      </c>
      <c r="B55" s="235" t="s">
        <v>194</v>
      </c>
      <c r="C55" s="235"/>
      <c r="D55" s="235"/>
      <c r="E55" s="235"/>
      <c r="G55" s="131"/>
    </row>
    <row r="56" spans="1:7" x14ac:dyDescent="0.25">
      <c r="A56" s="109"/>
      <c r="B56" s="126"/>
      <c r="C56" s="126"/>
      <c r="D56" s="10" t="s">
        <v>269</v>
      </c>
      <c r="E56" s="138"/>
      <c r="G56" s="131"/>
    </row>
    <row r="57" spans="1:7" x14ac:dyDescent="0.25">
      <c r="B57" s="240" t="s">
        <v>195</v>
      </c>
      <c r="C57" s="241"/>
      <c r="D57" s="1" t="s">
        <v>57</v>
      </c>
      <c r="E57" s="136">
        <f>422500+148800</f>
        <v>571300</v>
      </c>
      <c r="G57" s="111"/>
    </row>
    <row r="58" spans="1:7" x14ac:dyDescent="0.25">
      <c r="B58" s="240" t="s">
        <v>196</v>
      </c>
      <c r="C58" s="241"/>
      <c r="D58" s="1" t="s">
        <v>63</v>
      </c>
      <c r="E58" s="136">
        <f>11200+3800</f>
        <v>15000</v>
      </c>
      <c r="G58" s="111"/>
    </row>
    <row r="59" spans="1:7" x14ac:dyDescent="0.25">
      <c r="B59" s="240" t="s">
        <v>197</v>
      </c>
      <c r="C59" s="241"/>
      <c r="D59" s="1" t="s">
        <v>101</v>
      </c>
      <c r="E59" s="136">
        <f>71200</f>
        <v>71200</v>
      </c>
      <c r="G59" s="111"/>
    </row>
    <row r="60" spans="1:7" x14ac:dyDescent="0.25">
      <c r="B60" s="240" t="s">
        <v>198</v>
      </c>
      <c r="C60" s="241"/>
      <c r="D60" s="1" t="s">
        <v>59</v>
      </c>
      <c r="E60" s="136">
        <f>542500</f>
        <v>542500</v>
      </c>
      <c r="G60" s="111"/>
    </row>
    <row r="61" spans="1:7" x14ac:dyDescent="0.25">
      <c r="B61" s="238" t="s">
        <v>45</v>
      </c>
      <c r="C61" s="239"/>
      <c r="D61" s="15"/>
      <c r="E61" s="137">
        <f>SUM(E57:E60)</f>
        <v>1200000</v>
      </c>
    </row>
    <row r="62" spans="1:7" x14ac:dyDescent="0.25">
      <c r="B62" s="129"/>
      <c r="C62" s="129"/>
      <c r="D62" s="130"/>
      <c r="E62" s="139"/>
    </row>
    <row r="63" spans="1:7" x14ac:dyDescent="0.25">
      <c r="A63" s="109" t="s">
        <v>267</v>
      </c>
      <c r="B63" s="114">
        <v>300</v>
      </c>
    </row>
    <row r="64" spans="1:7" x14ac:dyDescent="0.25">
      <c r="A64" s="109" t="s">
        <v>270</v>
      </c>
      <c r="B64" s="235" t="s">
        <v>276</v>
      </c>
      <c r="C64" s="235"/>
      <c r="D64" s="235"/>
      <c r="E64" s="235"/>
    </row>
    <row r="65" spans="1:5" x14ac:dyDescent="0.25">
      <c r="D65" s="10" t="s">
        <v>269</v>
      </c>
    </row>
    <row r="66" spans="1:5" x14ac:dyDescent="0.25">
      <c r="B66" s="240" t="s">
        <v>72</v>
      </c>
      <c r="C66" s="241"/>
      <c r="D66" s="108" t="s">
        <v>73</v>
      </c>
      <c r="E66" s="136">
        <v>30000</v>
      </c>
    </row>
    <row r="67" spans="1:5" x14ac:dyDescent="0.25">
      <c r="B67" s="238" t="s">
        <v>45</v>
      </c>
      <c r="C67" s="239"/>
      <c r="D67" s="15"/>
      <c r="E67" s="137">
        <f>SUM(E66:E66)</f>
        <v>30000</v>
      </c>
    </row>
    <row r="69" spans="1:5" x14ac:dyDescent="0.25">
      <c r="A69" s="109" t="s">
        <v>267</v>
      </c>
      <c r="B69" s="114" t="s">
        <v>277</v>
      </c>
    </row>
    <row r="70" spans="1:5" x14ac:dyDescent="0.25">
      <c r="A70" s="109" t="s">
        <v>270</v>
      </c>
      <c r="B70" s="235" t="s">
        <v>199</v>
      </c>
      <c r="C70" s="235"/>
      <c r="D70" s="235"/>
      <c r="E70" s="235"/>
    </row>
    <row r="71" spans="1:5" x14ac:dyDescent="0.25">
      <c r="D71" s="10" t="s">
        <v>269</v>
      </c>
    </row>
    <row r="72" spans="1:5" x14ac:dyDescent="0.25">
      <c r="B72" s="240" t="s">
        <v>105</v>
      </c>
      <c r="C72" s="241"/>
      <c r="D72" s="1" t="s">
        <v>90</v>
      </c>
      <c r="E72" s="136">
        <v>150000</v>
      </c>
    </row>
    <row r="73" spans="1:5" x14ac:dyDescent="0.25">
      <c r="B73" s="240" t="s">
        <v>104</v>
      </c>
      <c r="C73" s="241"/>
      <c r="D73" s="1" t="s">
        <v>5</v>
      </c>
      <c r="E73" s="136">
        <v>199000</v>
      </c>
    </row>
    <row r="74" spans="1:5" x14ac:dyDescent="0.25">
      <c r="B74" s="240" t="s">
        <v>52</v>
      </c>
      <c r="C74" s="241"/>
      <c r="D74" s="1" t="s">
        <v>51</v>
      </c>
      <c r="E74" s="136">
        <v>10000</v>
      </c>
    </row>
    <row r="75" spans="1:5" x14ac:dyDescent="0.25">
      <c r="B75" s="240" t="s">
        <v>4</v>
      </c>
      <c r="C75" s="241"/>
      <c r="D75" s="1" t="s">
        <v>3</v>
      </c>
      <c r="E75" s="136">
        <v>50999</v>
      </c>
    </row>
    <row r="76" spans="1:5" x14ac:dyDescent="0.25">
      <c r="B76" s="240" t="s">
        <v>263</v>
      </c>
      <c r="C76" s="241"/>
      <c r="D76" s="1" t="s">
        <v>264</v>
      </c>
      <c r="E76" s="136">
        <v>14000</v>
      </c>
    </row>
    <row r="77" spans="1:5" x14ac:dyDescent="0.25">
      <c r="B77" s="240" t="s">
        <v>86</v>
      </c>
      <c r="C77" s="241"/>
      <c r="D77" s="1" t="s">
        <v>87</v>
      </c>
      <c r="E77" s="136">
        <v>6000</v>
      </c>
    </row>
    <row r="78" spans="1:5" x14ac:dyDescent="0.25">
      <c r="B78" s="240" t="s">
        <v>54</v>
      </c>
      <c r="C78" s="241"/>
      <c r="D78" s="1" t="s">
        <v>53</v>
      </c>
      <c r="E78" s="136">
        <v>37800</v>
      </c>
    </row>
    <row r="79" spans="1:5" x14ac:dyDescent="0.25">
      <c r="B79" s="240" t="s">
        <v>92</v>
      </c>
      <c r="C79" s="241"/>
      <c r="D79" s="1" t="s">
        <v>93</v>
      </c>
      <c r="E79" s="136">
        <v>8000</v>
      </c>
    </row>
    <row r="80" spans="1:5" x14ac:dyDescent="0.25">
      <c r="B80" s="240" t="s">
        <v>88</v>
      </c>
      <c r="C80" s="241"/>
      <c r="D80" s="1" t="s">
        <v>89</v>
      </c>
      <c r="E80" s="136">
        <v>4200</v>
      </c>
    </row>
    <row r="81" spans="1:5" x14ac:dyDescent="0.25">
      <c r="B81" s="240" t="s">
        <v>310</v>
      </c>
      <c r="C81" s="241"/>
      <c r="D81" s="1" t="s">
        <v>97</v>
      </c>
      <c r="E81" s="136">
        <v>1</v>
      </c>
    </row>
    <row r="82" spans="1:5" x14ac:dyDescent="0.25">
      <c r="B82" s="240" t="s">
        <v>311</v>
      </c>
      <c r="C82" s="241"/>
      <c r="D82" s="1" t="s">
        <v>71</v>
      </c>
      <c r="E82" s="136">
        <v>3600</v>
      </c>
    </row>
    <row r="83" spans="1:5" x14ac:dyDescent="0.25">
      <c r="B83" s="240" t="s">
        <v>56</v>
      </c>
      <c r="C83" s="241"/>
      <c r="D83" s="1" t="s">
        <v>55</v>
      </c>
      <c r="E83" s="136">
        <v>23400</v>
      </c>
    </row>
    <row r="84" spans="1:5" x14ac:dyDescent="0.25">
      <c r="B84" s="240" t="s">
        <v>312</v>
      </c>
      <c r="C84" s="241"/>
      <c r="D84" s="1" t="s">
        <v>96</v>
      </c>
      <c r="E84" s="136">
        <f>250000-66000</f>
        <v>184000</v>
      </c>
    </row>
    <row r="85" spans="1:5" x14ac:dyDescent="0.25">
      <c r="B85" s="240" t="s">
        <v>2</v>
      </c>
      <c r="C85" s="241"/>
      <c r="D85" s="1" t="s">
        <v>1</v>
      </c>
      <c r="E85" s="136">
        <v>20000</v>
      </c>
    </row>
    <row r="86" spans="1:5" x14ac:dyDescent="0.25">
      <c r="B86" s="240" t="s">
        <v>94</v>
      </c>
      <c r="C86" s="241"/>
      <c r="D86" s="1" t="s">
        <v>0</v>
      </c>
      <c r="E86" s="136">
        <v>1000</v>
      </c>
    </row>
    <row r="87" spans="1:5" x14ac:dyDescent="0.25">
      <c r="B87" s="238" t="s">
        <v>45</v>
      </c>
      <c r="C87" s="239"/>
      <c r="D87" s="15"/>
      <c r="E87" s="137">
        <f>SUM(E72:E86)</f>
        <v>712000</v>
      </c>
    </row>
    <row r="89" spans="1:5" x14ac:dyDescent="0.25">
      <c r="A89" s="109" t="s">
        <v>267</v>
      </c>
      <c r="B89" s="114">
        <v>230</v>
      </c>
    </row>
    <row r="90" spans="1:5" x14ac:dyDescent="0.25">
      <c r="A90" s="109" t="s">
        <v>270</v>
      </c>
      <c r="B90" s="235" t="s">
        <v>205</v>
      </c>
      <c r="C90" s="235"/>
      <c r="D90" s="235"/>
      <c r="E90" s="235"/>
    </row>
    <row r="91" spans="1:5" x14ac:dyDescent="0.25">
      <c r="D91" s="10" t="s">
        <v>269</v>
      </c>
    </row>
    <row r="92" spans="1:5" x14ac:dyDescent="0.25">
      <c r="B92" s="240" t="s">
        <v>106</v>
      </c>
      <c r="C92" s="241"/>
      <c r="D92" s="1" t="s">
        <v>91</v>
      </c>
      <c r="E92" s="136">
        <v>300000</v>
      </c>
    </row>
    <row r="93" spans="1:5" x14ac:dyDescent="0.25">
      <c r="B93" s="238" t="s">
        <v>45</v>
      </c>
      <c r="C93" s="239"/>
      <c r="D93" s="15"/>
      <c r="E93" s="137">
        <f>SUM(E92:E92)</f>
        <v>300000</v>
      </c>
    </row>
    <row r="94" spans="1:5" x14ac:dyDescent="0.25">
      <c r="B94" s="129"/>
      <c r="C94" s="129"/>
      <c r="D94" s="130"/>
      <c r="E94" s="139"/>
    </row>
    <row r="95" spans="1:5" x14ac:dyDescent="0.25">
      <c r="A95" s="109" t="s">
        <v>267</v>
      </c>
      <c r="B95" s="114" t="s">
        <v>302</v>
      </c>
    </row>
    <row r="96" spans="1:5" x14ac:dyDescent="0.25">
      <c r="A96" s="109" t="s">
        <v>270</v>
      </c>
      <c r="B96" s="235" t="s">
        <v>200</v>
      </c>
      <c r="C96" s="235"/>
      <c r="D96" s="235"/>
      <c r="E96" s="235"/>
    </row>
    <row r="97" spans="1:5" x14ac:dyDescent="0.25">
      <c r="B97" s="240" t="s">
        <v>303</v>
      </c>
      <c r="C97" s="241"/>
      <c r="D97" s="1"/>
      <c r="E97" s="136">
        <v>17205000</v>
      </c>
    </row>
    <row r="98" spans="1:5" x14ac:dyDescent="0.25">
      <c r="B98" s="240" t="s">
        <v>304</v>
      </c>
      <c r="C98" s="241"/>
      <c r="D98" s="1"/>
      <c r="E98" s="136">
        <v>2700000</v>
      </c>
    </row>
    <row r="99" spans="1:5" x14ac:dyDescent="0.25">
      <c r="B99" s="238" t="s">
        <v>45</v>
      </c>
      <c r="C99" s="239"/>
      <c r="D99" s="15"/>
      <c r="E99" s="137">
        <f>SUM(E97:E98)</f>
        <v>19905000</v>
      </c>
    </row>
    <row r="100" spans="1:5" x14ac:dyDescent="0.25">
      <c r="B100" s="129"/>
      <c r="C100" s="129"/>
      <c r="D100" s="130"/>
      <c r="E100" s="139"/>
    </row>
    <row r="101" spans="1:5" x14ac:dyDescent="0.25">
      <c r="A101" s="109" t="s">
        <v>267</v>
      </c>
      <c r="B101" s="114" t="s">
        <v>305</v>
      </c>
    </row>
    <row r="102" spans="1:5" x14ac:dyDescent="0.25">
      <c r="A102" s="109" t="s">
        <v>270</v>
      </c>
      <c r="B102" s="235" t="s">
        <v>306</v>
      </c>
      <c r="C102" s="235"/>
      <c r="D102" s="235"/>
      <c r="E102" s="235"/>
    </row>
    <row r="103" spans="1:5" x14ac:dyDescent="0.25">
      <c r="B103" s="240" t="s">
        <v>307</v>
      </c>
      <c r="C103" s="241"/>
      <c r="D103" s="1"/>
      <c r="E103" s="136">
        <v>3785000</v>
      </c>
    </row>
    <row r="104" spans="1:5" x14ac:dyDescent="0.25">
      <c r="B104" s="240" t="s">
        <v>308</v>
      </c>
      <c r="C104" s="241"/>
      <c r="D104" s="1"/>
      <c r="E104" s="136">
        <v>594000</v>
      </c>
    </row>
    <row r="105" spans="1:5" x14ac:dyDescent="0.25">
      <c r="B105" s="238" t="s">
        <v>45</v>
      </c>
      <c r="C105" s="239"/>
      <c r="D105" s="15"/>
      <c r="E105" s="137">
        <f>SUM(E103:E104)</f>
        <v>4379000</v>
      </c>
    </row>
    <row r="106" spans="1:5" x14ac:dyDescent="0.25">
      <c r="B106" s="129"/>
      <c r="C106" s="129"/>
      <c r="D106" s="130"/>
      <c r="E106" s="139"/>
    </row>
    <row r="107" spans="1:5" x14ac:dyDescent="0.25">
      <c r="A107" s="109" t="s">
        <v>267</v>
      </c>
      <c r="B107" s="114" t="s">
        <v>278</v>
      </c>
    </row>
    <row r="108" spans="1:5" x14ac:dyDescent="0.25">
      <c r="A108" s="109" t="s">
        <v>270</v>
      </c>
      <c r="B108" s="235" t="s">
        <v>279</v>
      </c>
      <c r="C108" s="235"/>
      <c r="D108" s="235"/>
      <c r="E108" s="235"/>
    </row>
    <row r="109" spans="1:5" x14ac:dyDescent="0.25">
      <c r="D109" s="10" t="s">
        <v>269</v>
      </c>
    </row>
    <row r="110" spans="1:5" x14ac:dyDescent="0.25">
      <c r="B110" s="240" t="s">
        <v>67</v>
      </c>
      <c r="C110" s="241"/>
      <c r="D110" s="1" t="s">
        <v>68</v>
      </c>
      <c r="E110" s="136">
        <v>60000</v>
      </c>
    </row>
    <row r="111" spans="1:5" x14ac:dyDescent="0.25">
      <c r="B111" s="238" t="s">
        <v>45</v>
      </c>
      <c r="C111" s="239"/>
      <c r="D111" s="15"/>
      <c r="E111" s="137">
        <f>SUM(E110:E110)</f>
        <v>60000</v>
      </c>
    </row>
    <row r="113" spans="1:7" x14ac:dyDescent="0.25">
      <c r="A113" s="109" t="s">
        <v>267</v>
      </c>
      <c r="B113" s="114" t="s">
        <v>280</v>
      </c>
    </row>
    <row r="114" spans="1:7" x14ac:dyDescent="0.25">
      <c r="A114" s="109" t="s">
        <v>270</v>
      </c>
      <c r="B114" s="235" t="s">
        <v>282</v>
      </c>
      <c r="C114" s="235"/>
      <c r="D114" s="235"/>
      <c r="E114" s="235"/>
    </row>
    <row r="115" spans="1:7" ht="66" customHeight="1" x14ac:dyDescent="0.25">
      <c r="B115" s="240" t="s">
        <v>301</v>
      </c>
      <c r="C115" s="241"/>
      <c r="D115" s="10" t="s">
        <v>281</v>
      </c>
    </row>
    <row r="116" spans="1:7" ht="49.5" customHeight="1" x14ac:dyDescent="0.25">
      <c r="B116" s="240" t="s">
        <v>300</v>
      </c>
      <c r="C116" s="241"/>
      <c r="D116" s="1">
        <v>372.3</v>
      </c>
      <c r="E116" s="136">
        <v>290000</v>
      </c>
    </row>
    <row r="117" spans="1:7" x14ac:dyDescent="0.25">
      <c r="B117" s="238" t="s">
        <v>45</v>
      </c>
      <c r="C117" s="239"/>
      <c r="D117" s="15"/>
      <c r="E117" s="137">
        <f>SUM(E116:E116)</f>
        <v>290000</v>
      </c>
    </row>
    <row r="119" spans="1:7" ht="15.75" customHeight="1" x14ac:dyDescent="0.25">
      <c r="A119" s="109" t="s">
        <v>267</v>
      </c>
      <c r="B119" s="114">
        <v>280</v>
      </c>
    </row>
    <row r="120" spans="1:7" x14ac:dyDescent="0.25">
      <c r="A120" s="109" t="s">
        <v>270</v>
      </c>
      <c r="B120" s="22" t="s">
        <v>298</v>
      </c>
    </row>
    <row r="122" spans="1:7" x14ac:dyDescent="0.25">
      <c r="B122" s="236" t="s">
        <v>299</v>
      </c>
      <c r="C122" s="237"/>
      <c r="D122" s="110"/>
      <c r="E122" s="136">
        <v>8000</v>
      </c>
    </row>
    <row r="123" spans="1:7" x14ac:dyDescent="0.25">
      <c r="B123" s="238" t="s">
        <v>45</v>
      </c>
      <c r="C123" s="239"/>
      <c r="D123" s="15"/>
      <c r="E123" s="137">
        <f>SUM(E122:E122)</f>
        <v>8000</v>
      </c>
    </row>
    <row r="125" spans="1:7" x14ac:dyDescent="0.25">
      <c r="A125" s="109" t="s">
        <v>267</v>
      </c>
      <c r="B125" s="114" t="s">
        <v>284</v>
      </c>
    </row>
    <row r="126" spans="1:7" x14ac:dyDescent="0.25">
      <c r="A126" s="109" t="s">
        <v>270</v>
      </c>
      <c r="B126" s="235" t="s">
        <v>285</v>
      </c>
      <c r="C126" s="235"/>
      <c r="D126" s="235"/>
      <c r="E126" s="235"/>
    </row>
    <row r="127" spans="1:7" ht="16.5" customHeight="1" x14ac:dyDescent="0.25">
      <c r="C127" s="22" t="s">
        <v>113</v>
      </c>
      <c r="D127" s="22" t="s">
        <v>283</v>
      </c>
      <c r="E127" s="119" t="s">
        <v>269</v>
      </c>
      <c r="F127" s="133" t="s">
        <v>124</v>
      </c>
    </row>
    <row r="128" spans="1:7" x14ac:dyDescent="0.25">
      <c r="B128" s="127" t="s">
        <v>115</v>
      </c>
      <c r="C128" s="13">
        <v>2</v>
      </c>
      <c r="D128" s="13">
        <f>F128/C128</f>
        <v>375000</v>
      </c>
      <c r="E128" s="21" t="s">
        <v>116</v>
      </c>
      <c r="F128" s="136">
        <v>750000</v>
      </c>
      <c r="G128" s="112"/>
    </row>
    <row r="129" spans="1:7" x14ac:dyDescent="0.25">
      <c r="B129" s="127" t="s">
        <v>118</v>
      </c>
      <c r="C129" s="13">
        <v>4</v>
      </c>
      <c r="D129" s="13">
        <f>F129/C129</f>
        <v>100000</v>
      </c>
      <c r="E129" s="21" t="s">
        <v>119</v>
      </c>
      <c r="F129" s="136">
        <v>400000</v>
      </c>
      <c r="G129" s="112"/>
    </row>
    <row r="130" spans="1:7" x14ac:dyDescent="0.25">
      <c r="B130" s="127" t="s">
        <v>120</v>
      </c>
      <c r="C130" s="13">
        <v>6</v>
      </c>
      <c r="D130" s="13">
        <f>F130/C130</f>
        <v>75000</v>
      </c>
      <c r="E130" s="21" t="s">
        <v>121</v>
      </c>
      <c r="F130" s="136">
        <v>450000</v>
      </c>
      <c r="G130" s="112"/>
    </row>
    <row r="131" spans="1:7" x14ac:dyDescent="0.25">
      <c r="B131" s="127" t="s">
        <v>314</v>
      </c>
      <c r="C131" s="13">
        <v>25</v>
      </c>
      <c r="D131" s="13">
        <f>F131/C131</f>
        <v>14000</v>
      </c>
      <c r="E131" s="21"/>
      <c r="F131" s="136">
        <v>350000</v>
      </c>
      <c r="G131" s="112"/>
    </row>
    <row r="132" spans="1:7" x14ac:dyDescent="0.25">
      <c r="B132" s="233" t="s">
        <v>45</v>
      </c>
      <c r="C132" s="234"/>
      <c r="D132" s="13"/>
      <c r="E132" s="13"/>
      <c r="F132" s="113">
        <f>SUM(F128:F131)</f>
        <v>1950000</v>
      </c>
      <c r="G132" s="128"/>
    </row>
    <row r="134" spans="1:7" x14ac:dyDescent="0.25">
      <c r="A134" s="109" t="s">
        <v>267</v>
      </c>
      <c r="B134" s="114" t="s">
        <v>315</v>
      </c>
    </row>
    <row r="135" spans="1:7" x14ac:dyDescent="0.25">
      <c r="A135" s="109" t="s">
        <v>270</v>
      </c>
      <c r="B135" s="235" t="s">
        <v>316</v>
      </c>
      <c r="C135" s="235"/>
      <c r="D135" s="235"/>
      <c r="E135" s="235"/>
    </row>
    <row r="136" spans="1:7" ht="16.5" customHeight="1" x14ac:dyDescent="0.25">
      <c r="C136" s="22" t="s">
        <v>113</v>
      </c>
      <c r="D136" s="10"/>
      <c r="E136" s="133" t="s">
        <v>124</v>
      </c>
    </row>
    <row r="137" spans="1:7" x14ac:dyDescent="0.25">
      <c r="B137" s="127" t="s">
        <v>317</v>
      </c>
      <c r="C137" s="13">
        <v>1</v>
      </c>
      <c r="D137" s="1"/>
      <c r="E137" s="136">
        <v>1146000</v>
      </c>
      <c r="F137" s="140"/>
    </row>
    <row r="138" spans="1:7" x14ac:dyDescent="0.25">
      <c r="B138" s="233" t="s">
        <v>45</v>
      </c>
      <c r="C138" s="234"/>
      <c r="D138" s="13"/>
      <c r="E138" s="113">
        <f>SUM(E137:E137)</f>
        <v>1146000</v>
      </c>
      <c r="F138" s="128"/>
    </row>
    <row r="145" spans="5:5" x14ac:dyDescent="0.25">
      <c r="E145" s="141">
        <f>E18+E45+E52+E61+E67+E87+E93+E99+E105+E111+E117+E123+F132+E138</f>
        <v>31200000</v>
      </c>
    </row>
    <row r="146" spans="5:5" x14ac:dyDescent="0.25">
      <c r="E146" s="133">
        <v>31200000</v>
      </c>
    </row>
    <row r="147" spans="5:5" x14ac:dyDescent="0.25">
      <c r="E147" s="141">
        <f>E146-E145</f>
        <v>0</v>
      </c>
    </row>
  </sheetData>
  <mergeCells count="89">
    <mergeCell ref="B2:D2"/>
    <mergeCell ref="B3:D3"/>
    <mergeCell ref="B4:D4"/>
    <mergeCell ref="B14:C14"/>
    <mergeCell ref="B15:C15"/>
    <mergeCell ref="B8:E8"/>
    <mergeCell ref="B10:C10"/>
    <mergeCell ref="B11:C11"/>
    <mergeCell ref="B12:C12"/>
    <mergeCell ref="B13:C13"/>
    <mergeCell ref="B16:C16"/>
    <mergeCell ref="B17:C17"/>
    <mergeCell ref="B18:C18"/>
    <mergeCell ref="B23:E23"/>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8:E48"/>
    <mergeCell ref="B50:C50"/>
    <mergeCell ref="B51:C51"/>
    <mergeCell ref="B52:C52"/>
    <mergeCell ref="B55:E55"/>
    <mergeCell ref="B57:C57"/>
    <mergeCell ref="B58:C58"/>
    <mergeCell ref="B59:C59"/>
    <mergeCell ref="B60:C60"/>
    <mergeCell ref="B61:C61"/>
    <mergeCell ref="B64:E64"/>
    <mergeCell ref="B66:C66"/>
    <mergeCell ref="B67:C67"/>
    <mergeCell ref="B70:E70"/>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90:E90"/>
    <mergeCell ref="B92:C92"/>
    <mergeCell ref="B93:C93"/>
    <mergeCell ref="B96:E96"/>
    <mergeCell ref="B97:C97"/>
    <mergeCell ref="B98:C98"/>
    <mergeCell ref="B99:C99"/>
    <mergeCell ref="B102:E102"/>
    <mergeCell ref="B103:C103"/>
    <mergeCell ref="B115:C115"/>
    <mergeCell ref="B116:C116"/>
    <mergeCell ref="B117:C117"/>
    <mergeCell ref="B104:C104"/>
    <mergeCell ref="B105:C105"/>
    <mergeCell ref="B108:E108"/>
    <mergeCell ref="B110:C110"/>
    <mergeCell ref="B111:C111"/>
    <mergeCell ref="B114:E114"/>
    <mergeCell ref="B138:C138"/>
    <mergeCell ref="B132:C132"/>
    <mergeCell ref="B135:E135"/>
    <mergeCell ref="B122:C122"/>
    <mergeCell ref="B123:C123"/>
    <mergeCell ref="B126:E126"/>
  </mergeCells>
  <dataValidations count="2">
    <dataValidation type="textLength" allowBlank="1" showInputMessage="1" showErrorMessage="1" promptTitle="обов'язкове" prompt="обов'язкове" sqref="D27 D86 D110 D116 D98 D104">
      <formula1>1</formula1>
      <formula2>200000</formula2>
    </dataValidation>
    <dataValidation type="decimal" allowBlank="1" showInputMessage="1" showErrorMessage="1" errorTitle="Очікувана вартість" error="Очікувана вартість предмета закупівлі - тілько число" sqref="D79 D81:D83 D77 E73:E86 D72:E72 D92:E92">
      <formula1>0</formula1>
      <formula2>1E+32</formula2>
    </dataValidation>
  </dataValidations>
  <pageMargins left="0.19685039370078741" right="0.19685039370078741" top="0.19685039370078741" bottom="0.19685039370078741" header="0.19685039370078741" footer="0.19685039370078741"/>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topLeftCell="A88" zoomScale="90" zoomScaleNormal="90" workbookViewId="0">
      <selection activeCell="B5" sqref="B5"/>
    </sheetView>
  </sheetViews>
  <sheetFormatPr defaultRowHeight="15.75" x14ac:dyDescent="0.25"/>
  <cols>
    <col min="1" max="1" width="12.140625" bestFit="1" customWidth="1"/>
    <col min="2" max="2" width="64.5703125" customWidth="1"/>
    <col min="3" max="3" width="10.7109375" bestFit="1" customWidth="1"/>
    <col min="4" max="4" width="11.85546875" bestFit="1" customWidth="1"/>
    <col min="5" max="5" width="10.140625" style="17" bestFit="1" customWidth="1"/>
    <col min="6" max="6" width="9" style="17" bestFit="1" customWidth="1"/>
    <col min="7" max="8" width="13.5703125" style="17" customWidth="1"/>
    <col min="10" max="10" width="25.7109375" bestFit="1" customWidth="1"/>
    <col min="11" max="11" width="24.28515625" customWidth="1"/>
    <col min="12" max="12" width="12" customWidth="1"/>
    <col min="13" max="13" width="18.140625" customWidth="1"/>
    <col min="14" max="14" width="11.5703125" customWidth="1"/>
  </cols>
  <sheetData>
    <row r="1" spans="1:12" ht="38.25" customHeight="1" x14ac:dyDescent="0.3">
      <c r="A1" s="244" t="s">
        <v>288</v>
      </c>
      <c r="B1" s="244"/>
      <c r="C1" s="244"/>
      <c r="D1" s="244"/>
      <c r="E1" s="244"/>
      <c r="F1" s="19"/>
      <c r="G1" s="19"/>
      <c r="H1" s="19"/>
      <c r="J1" s="28">
        <v>11436381</v>
      </c>
      <c r="L1">
        <f>J1-E91</f>
        <v>9112331</v>
      </c>
    </row>
    <row r="2" spans="1:12" ht="22.5" x14ac:dyDescent="0.3">
      <c r="A2" s="24"/>
      <c r="B2" s="24"/>
      <c r="C2" s="24" t="s">
        <v>102</v>
      </c>
      <c r="D2" s="24" t="s">
        <v>103</v>
      </c>
      <c r="E2" s="24"/>
      <c r="F2" s="118"/>
      <c r="G2" s="118"/>
      <c r="H2" s="118"/>
      <c r="J2" s="28">
        <v>2164780</v>
      </c>
      <c r="K2" t="s">
        <v>107</v>
      </c>
      <c r="L2">
        <v>9000000</v>
      </c>
    </row>
    <row r="3" spans="1:12" ht="22.5" x14ac:dyDescent="0.3">
      <c r="A3" s="5" t="s">
        <v>410</v>
      </c>
      <c r="B3" s="5" t="s">
        <v>411</v>
      </c>
      <c r="C3" s="3">
        <v>28.57</v>
      </c>
      <c r="D3" s="3">
        <v>7000</v>
      </c>
      <c r="E3" s="4">
        <f>C3*D3+10</f>
        <v>200000</v>
      </c>
      <c r="F3" s="119">
        <f t="shared" ref="F3:F8" si="0">E3*2</f>
        <v>400000</v>
      </c>
      <c r="G3" s="153">
        <v>400000</v>
      </c>
      <c r="H3" s="119" t="s">
        <v>322</v>
      </c>
      <c r="J3" s="28">
        <f>(J1-J2)/5</f>
        <v>1854320.2</v>
      </c>
      <c r="L3">
        <f>L1-L2</f>
        <v>112331</v>
      </c>
    </row>
    <row r="4" spans="1:12" x14ac:dyDescent="0.25">
      <c r="A4" s="2" t="s">
        <v>8</v>
      </c>
      <c r="B4" s="2" t="s">
        <v>272</v>
      </c>
      <c r="C4" s="3"/>
      <c r="D4" s="3"/>
      <c r="E4" s="4">
        <v>2000</v>
      </c>
      <c r="F4" s="119">
        <f t="shared" si="0"/>
        <v>4000</v>
      </c>
      <c r="G4" s="153">
        <v>4000</v>
      </c>
      <c r="H4" s="119"/>
    </row>
    <row r="5" spans="1:12" ht="31.5" x14ac:dyDescent="0.25">
      <c r="A5" s="5" t="s">
        <v>11</v>
      </c>
      <c r="B5" s="5" t="s">
        <v>70</v>
      </c>
      <c r="C5" s="3"/>
      <c r="D5" s="3"/>
      <c r="E5" s="4">
        <v>3000</v>
      </c>
      <c r="F5" s="119">
        <f t="shared" si="0"/>
        <v>6000</v>
      </c>
      <c r="G5" s="153">
        <v>6000</v>
      </c>
      <c r="H5" s="119"/>
    </row>
    <row r="6" spans="1:12" x14ac:dyDescent="0.25">
      <c r="A6" s="5" t="s">
        <v>12</v>
      </c>
      <c r="B6" s="5" t="s">
        <v>13</v>
      </c>
      <c r="C6" s="3"/>
      <c r="D6" s="3"/>
      <c r="E6" s="4">
        <v>500</v>
      </c>
      <c r="F6" s="119">
        <f t="shared" si="0"/>
        <v>1000</v>
      </c>
      <c r="G6" s="153">
        <v>1000</v>
      </c>
      <c r="H6" s="119"/>
    </row>
    <row r="7" spans="1:12" x14ac:dyDescent="0.25">
      <c r="A7" s="2" t="s">
        <v>331</v>
      </c>
      <c r="B7" s="2" t="s">
        <v>332</v>
      </c>
      <c r="C7" s="6"/>
      <c r="D7" s="6"/>
      <c r="E7" s="7">
        <f>30000-15000</f>
        <v>15000</v>
      </c>
      <c r="F7" s="119">
        <f t="shared" si="0"/>
        <v>30000</v>
      </c>
      <c r="G7" s="153">
        <v>30000</v>
      </c>
      <c r="H7" s="119"/>
    </row>
    <row r="8" spans="1:12" x14ac:dyDescent="0.25">
      <c r="A8" s="2" t="s">
        <v>333</v>
      </c>
      <c r="B8" s="2" t="s">
        <v>336</v>
      </c>
      <c r="C8" s="6"/>
      <c r="D8" s="6"/>
      <c r="E8" s="4">
        <v>20000</v>
      </c>
      <c r="F8" s="119">
        <f t="shared" si="0"/>
        <v>40000</v>
      </c>
      <c r="G8" s="153">
        <v>5000</v>
      </c>
      <c r="H8" s="119"/>
    </row>
    <row r="9" spans="1:12" x14ac:dyDescent="0.25">
      <c r="A9" s="2" t="s">
        <v>47</v>
      </c>
      <c r="B9" s="2" t="s">
        <v>335</v>
      </c>
      <c r="C9" s="6"/>
      <c r="D9" s="6"/>
      <c r="E9" s="4"/>
      <c r="F9" s="119"/>
      <c r="G9" s="153">
        <v>30500</v>
      </c>
      <c r="H9" s="119"/>
      <c r="J9" s="157"/>
    </row>
    <row r="10" spans="1:12" x14ac:dyDescent="0.25">
      <c r="A10" s="2" t="s">
        <v>334</v>
      </c>
      <c r="B10" s="2" t="s">
        <v>337</v>
      </c>
      <c r="C10" s="6"/>
      <c r="D10" s="6"/>
      <c r="E10" s="4"/>
      <c r="F10" s="119"/>
      <c r="G10" s="153">
        <v>5000</v>
      </c>
      <c r="H10" s="119"/>
      <c r="J10" s="157"/>
    </row>
    <row r="11" spans="1:12" ht="31.5" x14ac:dyDescent="0.25">
      <c r="A11" s="2" t="s">
        <v>338</v>
      </c>
      <c r="B11" s="2" t="s">
        <v>406</v>
      </c>
      <c r="C11" s="3"/>
      <c r="D11" s="3"/>
      <c r="E11" s="4">
        <v>20000</v>
      </c>
      <c r="F11" s="119">
        <f>E11*2</f>
        <v>40000</v>
      </c>
      <c r="G11" s="153">
        <v>45000</v>
      </c>
      <c r="H11" s="119"/>
    </row>
    <row r="12" spans="1:12" ht="31.5" x14ac:dyDescent="0.25">
      <c r="A12" s="2" t="s">
        <v>339</v>
      </c>
      <c r="B12" s="2" t="s">
        <v>407</v>
      </c>
      <c r="C12" s="3"/>
      <c r="D12" s="3"/>
      <c r="E12" s="4"/>
      <c r="F12" s="119"/>
      <c r="G12" s="153">
        <v>45000</v>
      </c>
      <c r="H12" s="119"/>
    </row>
    <row r="13" spans="1:12" x14ac:dyDescent="0.25">
      <c r="A13" s="2" t="s">
        <v>340</v>
      </c>
      <c r="B13" s="2" t="s">
        <v>18</v>
      </c>
      <c r="C13" s="3"/>
      <c r="D13" s="3">
        <v>1930</v>
      </c>
      <c r="E13" s="7">
        <f>30000-15000</f>
        <v>15000</v>
      </c>
      <c r="F13" s="119">
        <f>E13*2</f>
        <v>30000</v>
      </c>
      <c r="G13" s="153">
        <v>45000</v>
      </c>
      <c r="H13" s="119"/>
    </row>
    <row r="14" spans="1:12" ht="31.5" x14ac:dyDescent="0.25">
      <c r="A14" s="2" t="s">
        <v>341</v>
      </c>
      <c r="B14" s="2" t="s">
        <v>342</v>
      </c>
      <c r="C14" s="3"/>
      <c r="D14" s="3">
        <v>2508</v>
      </c>
      <c r="E14" s="4">
        <v>4000</v>
      </c>
      <c r="F14" s="119">
        <f>E14*2</f>
        <v>8000</v>
      </c>
      <c r="G14" s="153">
        <v>1000</v>
      </c>
      <c r="H14" s="119"/>
    </row>
    <row r="15" spans="1:12" x14ac:dyDescent="0.25">
      <c r="A15" s="2" t="s">
        <v>344</v>
      </c>
      <c r="B15" s="2" t="s">
        <v>343</v>
      </c>
      <c r="C15" s="3"/>
      <c r="D15" s="3"/>
      <c r="E15" s="4">
        <v>1000</v>
      </c>
      <c r="F15" s="119">
        <f>E15*2</f>
        <v>2000</v>
      </c>
      <c r="G15" s="153">
        <v>2000</v>
      </c>
      <c r="H15" s="119"/>
    </row>
    <row r="16" spans="1:12" x14ac:dyDescent="0.25">
      <c r="A16" s="2" t="s">
        <v>380</v>
      </c>
      <c r="B16" s="2" t="s">
        <v>381</v>
      </c>
      <c r="C16" s="3"/>
      <c r="D16" s="3"/>
      <c r="E16" s="4"/>
      <c r="F16" s="119"/>
      <c r="G16" s="153">
        <v>500</v>
      </c>
      <c r="H16" s="119"/>
    </row>
    <row r="17" spans="1:8" x14ac:dyDescent="0.25">
      <c r="A17" s="2" t="s">
        <v>76</v>
      </c>
      <c r="B17" s="2" t="s">
        <v>75</v>
      </c>
      <c r="C17" s="3"/>
      <c r="D17" s="3"/>
      <c r="E17" s="4"/>
      <c r="F17" s="119"/>
      <c r="G17" s="153">
        <v>7000</v>
      </c>
      <c r="H17" s="119"/>
    </row>
    <row r="18" spans="1:8" x14ac:dyDescent="0.25">
      <c r="A18" s="2" t="s">
        <v>347</v>
      </c>
      <c r="B18" s="2" t="s">
        <v>348</v>
      </c>
      <c r="C18" s="3"/>
      <c r="D18" s="3"/>
      <c r="E18" s="4"/>
      <c r="F18" s="119"/>
      <c r="G18" s="153">
        <v>3000</v>
      </c>
      <c r="H18" s="119"/>
    </row>
    <row r="19" spans="1:8" x14ac:dyDescent="0.25">
      <c r="A19" s="2" t="s">
        <v>345</v>
      </c>
      <c r="B19" s="2" t="s">
        <v>346</v>
      </c>
      <c r="C19" s="3"/>
      <c r="D19" s="3"/>
      <c r="E19" s="4"/>
      <c r="F19" s="119"/>
      <c r="G19" s="153">
        <v>3000</v>
      </c>
      <c r="H19" s="119"/>
    </row>
    <row r="20" spans="1:8" x14ac:dyDescent="0.25">
      <c r="A20" s="2" t="s">
        <v>25</v>
      </c>
      <c r="B20" s="2" t="s">
        <v>26</v>
      </c>
      <c r="C20" s="3"/>
      <c r="D20" s="3"/>
      <c r="E20" s="4">
        <v>2000</v>
      </c>
      <c r="F20" s="119">
        <f>E20*2</f>
        <v>4000</v>
      </c>
      <c r="G20" s="153">
        <v>4000</v>
      </c>
      <c r="H20" s="119"/>
    </row>
    <row r="21" spans="1:8" x14ac:dyDescent="0.25">
      <c r="A21" s="2" t="s">
        <v>349</v>
      </c>
      <c r="B21" s="2" t="s">
        <v>350</v>
      </c>
      <c r="C21" s="3"/>
      <c r="D21" s="3"/>
      <c r="E21" s="4">
        <v>20000</v>
      </c>
      <c r="F21" s="142">
        <f>E21*2</f>
        <v>40000</v>
      </c>
      <c r="G21" s="153">
        <v>10000</v>
      </c>
      <c r="H21" s="119"/>
    </row>
    <row r="22" spans="1:8" x14ac:dyDescent="0.25">
      <c r="A22" s="2" t="s">
        <v>351</v>
      </c>
      <c r="B22" s="2" t="s">
        <v>352</v>
      </c>
      <c r="C22" s="3"/>
      <c r="D22" s="3"/>
      <c r="E22" s="4"/>
      <c r="F22" s="119"/>
      <c r="G22" s="153">
        <v>10000</v>
      </c>
      <c r="H22" s="119"/>
    </row>
    <row r="23" spans="1:8" ht="31.5" x14ac:dyDescent="0.25">
      <c r="A23" s="2" t="s">
        <v>353</v>
      </c>
      <c r="B23" s="2" t="s">
        <v>354</v>
      </c>
      <c r="C23" s="3"/>
      <c r="D23" s="3"/>
      <c r="E23" s="4"/>
      <c r="F23" s="119"/>
      <c r="G23" s="153">
        <v>10000</v>
      </c>
      <c r="H23" s="119"/>
    </row>
    <row r="24" spans="1:8" x14ac:dyDescent="0.25">
      <c r="A24" s="2" t="s">
        <v>355</v>
      </c>
      <c r="B24" s="2" t="s">
        <v>356</v>
      </c>
      <c r="C24" s="3"/>
      <c r="D24" s="3"/>
      <c r="E24" s="4"/>
      <c r="F24" s="119"/>
      <c r="G24" s="153">
        <v>25000</v>
      </c>
      <c r="H24" s="119"/>
    </row>
    <row r="25" spans="1:8" x14ac:dyDescent="0.25">
      <c r="A25" s="2" t="s">
        <v>29</v>
      </c>
      <c r="B25" s="2" t="s">
        <v>30</v>
      </c>
      <c r="C25" s="3"/>
      <c r="D25" s="3"/>
      <c r="E25" s="4">
        <v>5000</v>
      </c>
      <c r="F25" s="119">
        <f>E25*2</f>
        <v>10000</v>
      </c>
      <c r="G25" s="153">
        <v>5000</v>
      </c>
      <c r="H25" s="119"/>
    </row>
    <row r="26" spans="1:8" x14ac:dyDescent="0.25">
      <c r="A26" s="2" t="s">
        <v>319</v>
      </c>
      <c r="B26" s="2" t="s">
        <v>378</v>
      </c>
      <c r="C26" s="3"/>
      <c r="D26" s="3"/>
      <c r="E26" s="4"/>
      <c r="F26" s="119"/>
      <c r="G26" s="153">
        <v>1000</v>
      </c>
      <c r="H26" s="119"/>
    </row>
    <row r="27" spans="1:8" x14ac:dyDescent="0.25">
      <c r="A27" s="2" t="s">
        <v>357</v>
      </c>
      <c r="B27" s="2" t="s">
        <v>358</v>
      </c>
      <c r="C27" s="3"/>
      <c r="D27" s="3"/>
      <c r="E27" s="7"/>
      <c r="F27" s="119"/>
      <c r="G27" s="153">
        <v>45000</v>
      </c>
      <c r="H27" s="119"/>
    </row>
    <row r="28" spans="1:8" x14ac:dyDescent="0.25">
      <c r="A28" s="2" t="s">
        <v>359</v>
      </c>
      <c r="B28" s="2" t="s">
        <v>360</v>
      </c>
      <c r="C28" s="3"/>
      <c r="D28" s="3"/>
      <c r="E28" s="7"/>
      <c r="F28" s="119"/>
      <c r="G28" s="153">
        <v>120000</v>
      </c>
      <c r="H28" s="119"/>
    </row>
    <row r="29" spans="1:8" x14ac:dyDescent="0.25">
      <c r="A29" s="2" t="s">
        <v>361</v>
      </c>
      <c r="B29" s="2" t="s">
        <v>362</v>
      </c>
      <c r="C29" s="3"/>
      <c r="D29" s="3"/>
      <c r="E29" s="7"/>
      <c r="F29" s="119"/>
      <c r="G29" s="153">
        <v>150000</v>
      </c>
      <c r="H29" s="119"/>
    </row>
    <row r="30" spans="1:8" ht="47.25" x14ac:dyDescent="0.25">
      <c r="A30" s="2" t="s">
        <v>363</v>
      </c>
      <c r="B30" s="2" t="s">
        <v>364</v>
      </c>
      <c r="C30" s="3"/>
      <c r="D30" s="3"/>
      <c r="E30" s="4"/>
      <c r="F30" s="119"/>
      <c r="G30" s="153">
        <v>4000</v>
      </c>
      <c r="H30" s="119"/>
    </row>
    <row r="31" spans="1:8" ht="31.5" x14ac:dyDescent="0.25">
      <c r="A31" s="2" t="s">
        <v>365</v>
      </c>
      <c r="B31" s="2" t="s">
        <v>408</v>
      </c>
      <c r="C31" s="3"/>
      <c r="D31" s="3"/>
      <c r="E31" s="4">
        <v>5000</v>
      </c>
      <c r="F31" s="119">
        <f>E31*2</f>
        <v>10000</v>
      </c>
      <c r="G31" s="153">
        <v>10000</v>
      </c>
      <c r="H31" s="119"/>
    </row>
    <row r="32" spans="1:8" x14ac:dyDescent="0.25">
      <c r="A32" s="2" t="s">
        <v>318</v>
      </c>
      <c r="B32" s="2" t="s">
        <v>379</v>
      </c>
      <c r="C32" s="3"/>
      <c r="D32" s="3"/>
      <c r="E32" s="4"/>
      <c r="F32" s="119"/>
      <c r="G32" s="153">
        <v>19000</v>
      </c>
      <c r="H32" s="119"/>
    </row>
    <row r="33" spans="1:8" x14ac:dyDescent="0.25">
      <c r="A33" s="2" t="s">
        <v>366</v>
      </c>
      <c r="B33" s="2" t="s">
        <v>367</v>
      </c>
      <c r="C33" s="3"/>
      <c r="D33" s="3"/>
      <c r="E33" s="4"/>
      <c r="F33" s="119"/>
      <c r="G33" s="153">
        <v>2000</v>
      </c>
      <c r="H33" s="119"/>
    </row>
    <row r="34" spans="1:8" x14ac:dyDescent="0.25">
      <c r="A34" s="2" t="s">
        <v>368</v>
      </c>
      <c r="B34" s="2" t="s">
        <v>369</v>
      </c>
      <c r="C34" s="3"/>
      <c r="D34" s="3"/>
      <c r="E34" s="4"/>
      <c r="F34" s="119"/>
      <c r="G34" s="153">
        <v>6000</v>
      </c>
      <c r="H34" s="119"/>
    </row>
    <row r="35" spans="1:8" x14ac:dyDescent="0.25">
      <c r="A35" s="2" t="s">
        <v>370</v>
      </c>
      <c r="B35" s="2" t="s">
        <v>409</v>
      </c>
      <c r="C35" s="3"/>
      <c r="D35" s="3"/>
      <c r="E35" s="4">
        <v>10000</v>
      </c>
      <c r="F35" s="119">
        <f>E35*2</f>
        <v>20000</v>
      </c>
      <c r="G35" s="153">
        <v>20000</v>
      </c>
      <c r="H35" s="119"/>
    </row>
    <row r="36" spans="1:8" x14ac:dyDescent="0.25">
      <c r="A36" s="2" t="s">
        <v>77</v>
      </c>
      <c r="B36" s="2" t="s">
        <v>377</v>
      </c>
      <c r="C36" s="3"/>
      <c r="D36" s="3"/>
      <c r="E36" s="4"/>
      <c r="F36" s="119"/>
      <c r="G36" s="153">
        <v>45000</v>
      </c>
      <c r="H36" s="119"/>
    </row>
    <row r="37" spans="1:8" x14ac:dyDescent="0.25">
      <c r="A37" s="2" t="s">
        <v>43</v>
      </c>
      <c r="B37" s="2" t="s">
        <v>44</v>
      </c>
      <c r="C37" s="3"/>
      <c r="D37" s="3"/>
      <c r="E37" s="4">
        <v>2000</v>
      </c>
      <c r="F37" s="119">
        <f>E37*2</f>
        <v>4000</v>
      </c>
      <c r="G37" s="153">
        <v>4000</v>
      </c>
      <c r="H37" s="119"/>
    </row>
    <row r="38" spans="1:8" x14ac:dyDescent="0.25">
      <c r="A38" s="2" t="s">
        <v>37</v>
      </c>
      <c r="B38" s="2" t="s">
        <v>38</v>
      </c>
      <c r="C38" s="3"/>
      <c r="D38" s="3"/>
      <c r="E38" s="4">
        <v>3000</v>
      </c>
      <c r="F38" s="119">
        <f>E38*2</f>
        <v>6000</v>
      </c>
      <c r="G38" s="153">
        <v>3000</v>
      </c>
      <c r="H38" s="119"/>
    </row>
    <row r="39" spans="1:8" x14ac:dyDescent="0.25">
      <c r="A39" s="2" t="s">
        <v>371</v>
      </c>
      <c r="B39" s="2" t="s">
        <v>372</v>
      </c>
      <c r="C39" s="3"/>
      <c r="D39" s="3"/>
      <c r="E39" s="4"/>
      <c r="F39" s="119"/>
      <c r="G39" s="153">
        <v>3000</v>
      </c>
      <c r="H39" s="119"/>
    </row>
    <row r="40" spans="1:8" x14ac:dyDescent="0.25">
      <c r="A40" s="2" t="s">
        <v>373</v>
      </c>
      <c r="B40" s="2" t="s">
        <v>374</v>
      </c>
      <c r="C40" s="3"/>
      <c r="D40" s="3"/>
      <c r="E40" s="4"/>
      <c r="F40" s="119"/>
      <c r="G40" s="153">
        <v>3000</v>
      </c>
      <c r="H40" s="119"/>
    </row>
    <row r="41" spans="1:8" x14ac:dyDescent="0.25">
      <c r="A41" s="2" t="s">
        <v>375</v>
      </c>
      <c r="B41" s="2" t="s">
        <v>376</v>
      </c>
      <c r="C41" s="3"/>
      <c r="D41" s="3"/>
      <c r="E41" s="4">
        <v>500</v>
      </c>
      <c r="F41" s="119">
        <f>E41*2</f>
        <v>1000</v>
      </c>
      <c r="G41" s="153">
        <v>1000</v>
      </c>
      <c r="H41" s="119"/>
    </row>
    <row r="42" spans="1:8" x14ac:dyDescent="0.25">
      <c r="A42" s="238" t="s">
        <v>45</v>
      </c>
      <c r="B42" s="239"/>
      <c r="C42" s="3"/>
      <c r="D42" s="3"/>
      <c r="E42" s="8">
        <f>SUM(E3:E41)</f>
        <v>328000</v>
      </c>
      <c r="F42" s="11">
        <f>SUM(F3:F41)</f>
        <v>656000</v>
      </c>
      <c r="G42" s="11">
        <f>SUM(G3:G41)</f>
        <v>1133000</v>
      </c>
      <c r="H42" s="11"/>
    </row>
    <row r="43" spans="1:8" x14ac:dyDescent="0.25">
      <c r="A43" s="9"/>
      <c r="B43" s="10"/>
      <c r="C43" s="9"/>
      <c r="D43" s="9"/>
      <c r="E43" s="11"/>
      <c r="F43" s="11"/>
      <c r="G43" s="11"/>
      <c r="H43" s="11"/>
    </row>
    <row r="44" spans="1:8" ht="18.75" x14ac:dyDescent="0.25">
      <c r="A44" s="244" t="s">
        <v>289</v>
      </c>
      <c r="B44" s="244"/>
      <c r="C44" s="244"/>
      <c r="D44" s="244"/>
      <c r="E44" s="244"/>
      <c r="F44" s="19"/>
      <c r="G44" s="19"/>
      <c r="H44" s="19"/>
    </row>
    <row r="45" spans="1:8" ht="18.75" x14ac:dyDescent="0.25">
      <c r="A45" s="245"/>
      <c r="B45" s="245"/>
      <c r="C45" s="245"/>
      <c r="D45" s="245"/>
      <c r="E45" s="245"/>
      <c r="F45" s="23"/>
      <c r="G45" s="23"/>
      <c r="H45" s="23"/>
    </row>
    <row r="46" spans="1:8" x14ac:dyDescent="0.25">
      <c r="A46" s="2" t="s">
        <v>382</v>
      </c>
      <c r="B46" s="2" t="s">
        <v>383</v>
      </c>
      <c r="C46" s="5"/>
      <c r="D46" s="5"/>
      <c r="E46" s="12">
        <v>5000</v>
      </c>
      <c r="F46" s="120">
        <f>E46*2</f>
        <v>10000</v>
      </c>
      <c r="G46" s="149">
        <v>10000</v>
      </c>
      <c r="H46" s="120"/>
    </row>
    <row r="47" spans="1:8" ht="31.5" x14ac:dyDescent="0.25">
      <c r="A47" s="2" t="s">
        <v>384</v>
      </c>
      <c r="B47" s="2" t="s">
        <v>385</v>
      </c>
      <c r="C47" s="2"/>
      <c r="D47" s="2"/>
      <c r="E47" s="12">
        <v>2000</v>
      </c>
      <c r="F47" s="120">
        <f>E47*2</f>
        <v>4000</v>
      </c>
      <c r="G47" s="149">
        <v>4000</v>
      </c>
      <c r="H47" s="120"/>
    </row>
    <row r="48" spans="1:8" ht="31.5" x14ac:dyDescent="0.25">
      <c r="A48" s="2" t="s">
        <v>81</v>
      </c>
      <c r="B48" s="2" t="s">
        <v>80</v>
      </c>
      <c r="C48" s="2"/>
      <c r="D48" s="2"/>
      <c r="E48" s="13">
        <v>2000</v>
      </c>
      <c r="F48" s="120">
        <f>E48*2</f>
        <v>4000</v>
      </c>
      <c r="G48" s="149">
        <v>4000</v>
      </c>
      <c r="H48" s="120"/>
    </row>
    <row r="49" spans="1:14" x14ac:dyDescent="0.25">
      <c r="A49" s="2" t="s">
        <v>386</v>
      </c>
      <c r="B49" s="2" t="s">
        <v>387</v>
      </c>
      <c r="C49" s="2"/>
      <c r="D49" s="2"/>
      <c r="E49" s="13">
        <v>25000</v>
      </c>
      <c r="F49" s="120">
        <f>E49*2</f>
        <v>50000</v>
      </c>
      <c r="G49" s="149">
        <v>37000</v>
      </c>
      <c r="H49" s="120"/>
      <c r="J49" s="154"/>
      <c r="K49" s="154"/>
      <c r="L49" s="154"/>
    </row>
    <row r="50" spans="1:14" ht="31.5" x14ac:dyDescent="0.25">
      <c r="A50" s="2" t="s">
        <v>390</v>
      </c>
      <c r="B50" s="2" t="s">
        <v>391</v>
      </c>
      <c r="C50" s="2"/>
      <c r="D50" s="2"/>
      <c r="E50" s="13"/>
      <c r="F50" s="120"/>
      <c r="G50" s="149">
        <v>150000</v>
      </c>
      <c r="H50" s="120"/>
      <c r="J50" s="154"/>
      <c r="K50" s="154"/>
      <c r="L50" s="154"/>
    </row>
    <row r="51" spans="1:14" ht="47.25" x14ac:dyDescent="0.25">
      <c r="A51" s="2" t="s">
        <v>388</v>
      </c>
      <c r="B51" s="2" t="s">
        <v>389</v>
      </c>
      <c r="C51" s="2"/>
      <c r="D51" s="2"/>
      <c r="E51" s="13"/>
      <c r="F51" s="120"/>
      <c r="G51" s="149">
        <v>150000</v>
      </c>
      <c r="H51" s="120"/>
      <c r="J51" s="154"/>
      <c r="K51" s="154"/>
      <c r="L51" s="154"/>
    </row>
    <row r="52" spans="1:14" ht="47.25" x14ac:dyDescent="0.25">
      <c r="A52" s="2" t="s">
        <v>392</v>
      </c>
      <c r="B52" s="2" t="s">
        <v>393</v>
      </c>
      <c r="C52" s="2"/>
      <c r="D52" s="2"/>
      <c r="E52" s="13"/>
      <c r="F52" s="120"/>
      <c r="G52" s="149">
        <v>150000</v>
      </c>
      <c r="H52" s="120"/>
      <c r="J52" s="154"/>
      <c r="K52" s="154"/>
      <c r="L52" s="154"/>
    </row>
    <row r="53" spans="1:14" ht="362.25" x14ac:dyDescent="0.25">
      <c r="A53" s="2" t="s">
        <v>69</v>
      </c>
      <c r="B53" s="2" t="s">
        <v>268</v>
      </c>
      <c r="C53" s="14"/>
      <c r="D53" s="14"/>
      <c r="E53" s="36">
        <f>150000-50000</f>
        <v>100000</v>
      </c>
      <c r="F53" s="120">
        <f>E53*2</f>
        <v>200000</v>
      </c>
      <c r="G53" s="149">
        <v>199000</v>
      </c>
      <c r="H53" s="120"/>
      <c r="J53" s="154"/>
      <c r="K53" s="154"/>
      <c r="L53" s="154"/>
    </row>
    <row r="54" spans="1:14" x14ac:dyDescent="0.25">
      <c r="A54" s="2" t="s">
        <v>394</v>
      </c>
      <c r="B54" s="2" t="s">
        <v>395</v>
      </c>
      <c r="C54" s="2"/>
      <c r="D54" s="2"/>
      <c r="E54" s="13">
        <v>5000</v>
      </c>
      <c r="F54" s="120">
        <f>E54*2</f>
        <v>10000</v>
      </c>
      <c r="G54" s="149">
        <v>10000</v>
      </c>
      <c r="H54" s="120"/>
      <c r="J54" s="154"/>
      <c r="K54" s="154"/>
      <c r="L54" s="154"/>
    </row>
    <row r="55" spans="1:14" x14ac:dyDescent="0.25">
      <c r="A55" s="2"/>
      <c r="B55" s="147"/>
      <c r="C55" s="147"/>
      <c r="D55" s="147"/>
      <c r="E55" s="13"/>
      <c r="F55" s="120"/>
      <c r="G55" s="120"/>
      <c r="H55" s="120"/>
      <c r="J55" s="154"/>
      <c r="K55" s="154"/>
      <c r="L55" s="154"/>
    </row>
    <row r="56" spans="1:14" x14ac:dyDescent="0.25">
      <c r="A56" s="2"/>
      <c r="B56" s="2"/>
      <c r="C56" s="2"/>
      <c r="D56" s="2"/>
      <c r="E56" s="13">
        <v>125000</v>
      </c>
      <c r="F56" s="120">
        <f>E56*2</f>
        <v>250000</v>
      </c>
      <c r="G56" s="120"/>
      <c r="H56" s="120"/>
      <c r="J56" s="154"/>
      <c r="K56" s="154"/>
      <c r="L56" s="154"/>
    </row>
    <row r="57" spans="1:14" x14ac:dyDescent="0.25">
      <c r="A57" s="233" t="s">
        <v>45</v>
      </c>
      <c r="B57" s="234"/>
      <c r="C57" s="15"/>
      <c r="D57" s="15"/>
      <c r="E57" s="16">
        <f>SUM(E46:E56)</f>
        <v>264000</v>
      </c>
      <c r="F57" s="27">
        <f>SUM(F46:F56)</f>
        <v>528000</v>
      </c>
      <c r="G57" s="27">
        <f>SUM(G46:G56)</f>
        <v>714000</v>
      </c>
      <c r="H57" s="27"/>
      <c r="J57" s="154"/>
      <c r="K57" s="154"/>
      <c r="L57" s="154"/>
    </row>
    <row r="58" spans="1:14" x14ac:dyDescent="0.25">
      <c r="J58" s="154"/>
      <c r="K58" s="154"/>
      <c r="L58" s="154"/>
    </row>
    <row r="59" spans="1:14" ht="18.75" x14ac:dyDescent="0.25">
      <c r="A59" s="244" t="s">
        <v>290</v>
      </c>
      <c r="B59" s="244"/>
      <c r="C59" s="19"/>
      <c r="D59" s="19"/>
    </row>
    <row r="60" spans="1:14" ht="18.75" x14ac:dyDescent="0.25">
      <c r="A60" s="245"/>
      <c r="B60" s="245"/>
      <c r="C60" s="23"/>
      <c r="D60" s="23"/>
    </row>
    <row r="61" spans="1:14" ht="31.5" x14ac:dyDescent="0.25">
      <c r="A61" s="1" t="s">
        <v>91</v>
      </c>
      <c r="B61" s="116" t="s">
        <v>396</v>
      </c>
      <c r="C61" s="13"/>
      <c r="D61" s="13"/>
      <c r="E61" s="36">
        <f>300000-64000-1300-134700</f>
        <v>100000</v>
      </c>
      <c r="F61" s="32">
        <v>300000</v>
      </c>
      <c r="G61" s="149">
        <v>570000</v>
      </c>
      <c r="H61" s="32"/>
      <c r="J61" s="1">
        <v>470223</v>
      </c>
      <c r="K61" s="1" t="s">
        <v>126</v>
      </c>
    </row>
    <row r="62" spans="1:14" ht="32.25" thickBot="1" x14ac:dyDescent="0.3">
      <c r="A62" s="1" t="s">
        <v>5</v>
      </c>
      <c r="B62" s="116" t="s">
        <v>104</v>
      </c>
      <c r="C62" s="13"/>
      <c r="D62" s="13"/>
      <c r="E62" s="13">
        <v>199000</v>
      </c>
      <c r="F62" s="32">
        <v>199000</v>
      </c>
      <c r="G62" s="149">
        <v>199000</v>
      </c>
      <c r="H62" s="32"/>
      <c r="J62">
        <v>253700</v>
      </c>
    </row>
    <row r="63" spans="1:14" ht="16.5" thickBot="1" x14ac:dyDescent="0.3">
      <c r="A63" s="1" t="s">
        <v>51</v>
      </c>
      <c r="B63" s="116" t="s">
        <v>52</v>
      </c>
      <c r="C63" s="13"/>
      <c r="D63" s="13"/>
      <c r="E63" s="13">
        <v>5000</v>
      </c>
      <c r="F63" s="32">
        <f>E63*2</f>
        <v>10000</v>
      </c>
      <c r="G63" s="149">
        <v>30000</v>
      </c>
      <c r="H63" s="32"/>
      <c r="J63">
        <f>J61-J62</f>
        <v>216523</v>
      </c>
      <c r="M63" s="100"/>
      <c r="N63" s="100"/>
    </row>
    <row r="64" spans="1:14" x14ac:dyDescent="0.25">
      <c r="A64" s="1" t="s">
        <v>3</v>
      </c>
      <c r="B64" s="116" t="s">
        <v>4</v>
      </c>
      <c r="C64" s="13"/>
      <c r="D64" s="13"/>
      <c r="E64" s="36">
        <f>25000+484-150+0.08</f>
        <v>25334.080000000002</v>
      </c>
      <c r="F64" s="32">
        <v>50999</v>
      </c>
      <c r="G64" s="149">
        <v>49000</v>
      </c>
      <c r="H64" s="32"/>
    </row>
    <row r="65" spans="1:14" ht="78.75" x14ac:dyDescent="0.25">
      <c r="A65" s="1" t="s">
        <v>264</v>
      </c>
      <c r="B65" s="116" t="s">
        <v>263</v>
      </c>
      <c r="C65" s="13"/>
      <c r="D65" s="13"/>
      <c r="E65" s="13">
        <v>7000</v>
      </c>
      <c r="F65" s="32">
        <f>E65*2</f>
        <v>14000</v>
      </c>
      <c r="G65" s="149">
        <v>25000</v>
      </c>
      <c r="H65" s="32"/>
      <c r="J65" s="1">
        <f>E61+E64</f>
        <v>125334.08</v>
      </c>
    </row>
    <row r="66" spans="1:14" ht="31.5" x14ac:dyDescent="0.25">
      <c r="A66" s="1" t="s">
        <v>87</v>
      </c>
      <c r="B66" s="116" t="s">
        <v>86</v>
      </c>
      <c r="C66" s="13"/>
      <c r="D66" s="13"/>
      <c r="E66" s="13">
        <v>2000</v>
      </c>
      <c r="F66" s="32">
        <v>6000</v>
      </c>
      <c r="G66" s="149">
        <v>6000</v>
      </c>
      <c r="H66" s="32"/>
    </row>
    <row r="67" spans="1:14" ht="31.5" x14ac:dyDescent="0.25">
      <c r="A67" s="1" t="s">
        <v>53</v>
      </c>
      <c r="B67" s="116" t="s">
        <v>54</v>
      </c>
      <c r="C67" s="13">
        <f>3150*6</f>
        <v>18900</v>
      </c>
      <c r="D67" s="13"/>
      <c r="E67" s="13">
        <v>18900</v>
      </c>
      <c r="F67" s="32">
        <f>E67*2</f>
        <v>37800</v>
      </c>
      <c r="G67" s="149">
        <v>100000</v>
      </c>
      <c r="H67" s="32"/>
    </row>
    <row r="68" spans="1:14" x14ac:dyDescent="0.25">
      <c r="A68" s="1" t="s">
        <v>93</v>
      </c>
      <c r="B68" s="116" t="s">
        <v>92</v>
      </c>
      <c r="C68" s="13">
        <f>200*6</f>
        <v>1200</v>
      </c>
      <c r="D68" s="13"/>
      <c r="E68" s="13">
        <f>1200+1300</f>
        <v>2500</v>
      </c>
      <c r="F68" s="32">
        <v>8000</v>
      </c>
      <c r="G68" s="149">
        <v>8000</v>
      </c>
      <c r="H68" s="32"/>
    </row>
    <row r="69" spans="1:14" x14ac:dyDescent="0.25">
      <c r="A69" s="1" t="s">
        <v>89</v>
      </c>
      <c r="B69" s="116" t="s">
        <v>88</v>
      </c>
      <c r="C69" s="13">
        <f>700*6</f>
        <v>4200</v>
      </c>
      <c r="D69" s="13"/>
      <c r="E69" s="13">
        <v>4200</v>
      </c>
      <c r="F69" s="32">
        <v>4200</v>
      </c>
      <c r="G69" s="149">
        <v>4200</v>
      </c>
      <c r="H69" s="32"/>
    </row>
    <row r="70" spans="1:14" ht="31.5" x14ac:dyDescent="0.25">
      <c r="A70" s="1" t="s">
        <v>55</v>
      </c>
      <c r="B70" s="116" t="s">
        <v>56</v>
      </c>
      <c r="C70" s="13">
        <f>1950*6</f>
        <v>11700</v>
      </c>
      <c r="D70" s="13"/>
      <c r="E70" s="13">
        <v>11700</v>
      </c>
      <c r="F70" s="32">
        <f>E70*2</f>
        <v>23400</v>
      </c>
      <c r="G70" s="149">
        <v>22800</v>
      </c>
      <c r="H70" s="32"/>
    </row>
    <row r="71" spans="1:14" x14ac:dyDescent="0.25">
      <c r="A71" s="1" t="s">
        <v>96</v>
      </c>
      <c r="B71" s="116" t="s">
        <v>95</v>
      </c>
      <c r="C71" s="13"/>
      <c r="D71" s="13"/>
      <c r="E71" s="36">
        <v>103477</v>
      </c>
      <c r="F71" s="32">
        <v>250000</v>
      </c>
      <c r="G71" s="149">
        <v>40000</v>
      </c>
      <c r="H71" s="32"/>
    </row>
    <row r="72" spans="1:14" x14ac:dyDescent="0.25">
      <c r="A72" s="1" t="s">
        <v>1</v>
      </c>
      <c r="B72" s="116" t="s">
        <v>2</v>
      </c>
      <c r="C72" s="13">
        <f>1285.82*6</f>
        <v>7714.92</v>
      </c>
      <c r="D72" s="13"/>
      <c r="E72" s="13">
        <v>7714.92</v>
      </c>
      <c r="F72" s="32">
        <v>20000</v>
      </c>
      <c r="G72" s="149">
        <v>20000</v>
      </c>
      <c r="H72" s="32"/>
    </row>
    <row r="73" spans="1:14" ht="31.5" x14ac:dyDescent="0.25">
      <c r="A73" s="156" t="s">
        <v>397</v>
      </c>
      <c r="B73" s="156" t="s">
        <v>412</v>
      </c>
      <c r="C73" s="13"/>
      <c r="D73" s="13"/>
      <c r="E73" s="13">
        <v>1</v>
      </c>
      <c r="F73" s="32">
        <v>1</v>
      </c>
      <c r="G73" s="149">
        <v>10000</v>
      </c>
      <c r="H73" s="32"/>
    </row>
    <row r="74" spans="1:14" x14ac:dyDescent="0.25">
      <c r="A74" s="233" t="s">
        <v>45</v>
      </c>
      <c r="B74" s="234"/>
      <c r="C74" s="18"/>
      <c r="D74" s="18"/>
      <c r="E74" s="16">
        <f>SUM(E61:E73)</f>
        <v>486827</v>
      </c>
      <c r="F74" s="27">
        <f>SUM(F61:F73)</f>
        <v>923400</v>
      </c>
      <c r="G74" s="27">
        <f>SUM(G61:G73)</f>
        <v>1084000</v>
      </c>
      <c r="H74" s="27"/>
    </row>
    <row r="75" spans="1:14" x14ac:dyDescent="0.25">
      <c r="A75" s="25"/>
      <c r="B75" s="25"/>
      <c r="C75" s="26"/>
      <c r="D75" s="26"/>
      <c r="E75" s="27"/>
      <c r="F75" s="27"/>
      <c r="G75" s="27"/>
      <c r="H75" s="27"/>
      <c r="J75" s="31" t="s">
        <v>108</v>
      </c>
      <c r="K75" s="31"/>
      <c r="L75" s="31"/>
      <c r="M75" s="31"/>
      <c r="N75" s="31"/>
    </row>
    <row r="76" spans="1:14" ht="18.75" x14ac:dyDescent="0.25">
      <c r="A76" s="244" t="s">
        <v>291</v>
      </c>
      <c r="B76" s="244"/>
      <c r="C76" s="26"/>
      <c r="D76" s="26"/>
      <c r="E76" s="27"/>
      <c r="F76" s="27"/>
      <c r="G76" s="27"/>
      <c r="H76" s="27"/>
      <c r="J76" s="29" t="s">
        <v>109</v>
      </c>
      <c r="K76" s="29" t="s">
        <v>110</v>
      </c>
      <c r="L76" s="30" t="s">
        <v>111</v>
      </c>
      <c r="M76" s="30" t="s">
        <v>112</v>
      </c>
      <c r="N76" s="30" t="s">
        <v>113</v>
      </c>
    </row>
    <row r="77" spans="1:14" x14ac:dyDescent="0.25">
      <c r="A77" s="1" t="s">
        <v>68</v>
      </c>
      <c r="B77" s="116" t="s">
        <v>67</v>
      </c>
      <c r="C77" s="13"/>
      <c r="D77" s="13"/>
      <c r="E77" s="13">
        <v>30000</v>
      </c>
      <c r="F77" s="32">
        <f>E77*2</f>
        <v>60000</v>
      </c>
      <c r="G77" s="149">
        <v>30000</v>
      </c>
      <c r="H77" s="32"/>
      <c r="J77" s="29" t="s">
        <v>115</v>
      </c>
      <c r="K77" s="29" t="s">
        <v>116</v>
      </c>
      <c r="L77" s="29">
        <v>500</v>
      </c>
      <c r="M77" s="29" t="s">
        <v>117</v>
      </c>
      <c r="N77" s="29">
        <v>5</v>
      </c>
    </row>
    <row r="78" spans="1:14" ht="18.75" x14ac:dyDescent="0.25">
      <c r="A78" s="246" t="s">
        <v>292</v>
      </c>
      <c r="B78" s="246"/>
      <c r="C78" s="102"/>
      <c r="D78" s="102"/>
      <c r="E78" s="103"/>
      <c r="F78" s="103"/>
      <c r="G78" s="103"/>
      <c r="H78" s="103"/>
      <c r="J78" s="29" t="s">
        <v>118</v>
      </c>
      <c r="K78" s="29" t="s">
        <v>119</v>
      </c>
      <c r="L78" s="29">
        <v>30</v>
      </c>
      <c r="M78" s="29" t="s">
        <v>117</v>
      </c>
      <c r="N78" s="29">
        <v>6</v>
      </c>
    </row>
    <row r="79" spans="1:14" x14ac:dyDescent="0.25">
      <c r="A79" s="104"/>
      <c r="B79" s="105" t="s">
        <v>127</v>
      </c>
      <c r="C79" s="106"/>
      <c r="D79" s="106"/>
      <c r="E79" s="106">
        <v>3000</v>
      </c>
      <c r="F79" s="122">
        <v>8000</v>
      </c>
      <c r="G79" s="149">
        <v>8000</v>
      </c>
      <c r="H79" s="122"/>
      <c r="J79" s="29"/>
      <c r="K79" s="29"/>
      <c r="L79" s="29"/>
      <c r="M79" s="29"/>
      <c r="N79" s="29"/>
    </row>
    <row r="80" spans="1:14" ht="18.75" x14ac:dyDescent="0.25">
      <c r="A80" s="246" t="s">
        <v>293</v>
      </c>
      <c r="B80" s="246"/>
      <c r="C80" s="106"/>
      <c r="D80" s="106"/>
      <c r="E80" s="13"/>
      <c r="F80" s="32"/>
      <c r="G80" s="32"/>
      <c r="H80" s="32"/>
      <c r="J80" s="29"/>
      <c r="K80" s="29"/>
      <c r="L80" s="29"/>
      <c r="M80" s="29"/>
      <c r="N80" s="29"/>
    </row>
    <row r="81" spans="1:15" x14ac:dyDescent="0.25">
      <c r="A81" s="104"/>
      <c r="B81" s="105" t="s">
        <v>294</v>
      </c>
      <c r="C81" s="106">
        <v>372.3</v>
      </c>
      <c r="D81" s="106"/>
      <c r="E81" s="36">
        <f>150000-3000-2000</f>
        <v>145000</v>
      </c>
      <c r="F81" s="121">
        <f>E81*2</f>
        <v>290000</v>
      </c>
      <c r="G81" s="149">
        <v>30000</v>
      </c>
      <c r="H81" s="121"/>
      <c r="J81" s="29"/>
      <c r="K81" s="29"/>
      <c r="L81" s="29"/>
      <c r="M81" s="29"/>
      <c r="N81" s="29"/>
    </row>
    <row r="82" spans="1:15" x14ac:dyDescent="0.25">
      <c r="A82" s="25"/>
      <c r="B82" s="25"/>
      <c r="C82" s="26"/>
      <c r="D82" s="26"/>
      <c r="E82" s="27"/>
      <c r="F82" s="27"/>
      <c r="G82" s="27"/>
      <c r="H82" s="27"/>
      <c r="J82" s="29" t="s">
        <v>120</v>
      </c>
      <c r="K82" s="29" t="s">
        <v>121</v>
      </c>
      <c r="L82" s="29">
        <v>42</v>
      </c>
      <c r="M82" s="29" t="s">
        <v>117</v>
      </c>
      <c r="N82" s="29">
        <v>10</v>
      </c>
    </row>
    <row r="83" spans="1:15" ht="18.75" x14ac:dyDescent="0.25">
      <c r="A83" s="244" t="s">
        <v>295</v>
      </c>
      <c r="B83" s="244"/>
      <c r="C83" s="19"/>
      <c r="D83" s="19"/>
    </row>
    <row r="84" spans="1:15" x14ac:dyDescent="0.25">
      <c r="A84" s="1" t="s">
        <v>328</v>
      </c>
      <c r="B84" s="147" t="s">
        <v>329</v>
      </c>
      <c r="C84" s="148"/>
      <c r="D84" s="148">
        <v>1</v>
      </c>
      <c r="E84" s="148"/>
      <c r="F84" s="149"/>
      <c r="G84" s="149">
        <v>30000</v>
      </c>
      <c r="H84" s="149"/>
      <c r="I84" s="150" t="s">
        <v>330</v>
      </c>
    </row>
    <row r="85" spans="1:15" x14ac:dyDescent="0.25">
      <c r="A85" s="1" t="s">
        <v>323</v>
      </c>
      <c r="B85" s="147" t="s">
        <v>324</v>
      </c>
      <c r="C85" s="148">
        <v>40000</v>
      </c>
      <c r="D85" s="148">
        <v>3</v>
      </c>
      <c r="E85" s="148"/>
      <c r="F85" s="149"/>
      <c r="G85" s="149">
        <f>C85*D85</f>
        <v>120000</v>
      </c>
      <c r="H85" s="149" t="s">
        <v>325</v>
      </c>
      <c r="I85" s="149" t="s">
        <v>326</v>
      </c>
    </row>
    <row r="86" spans="1:15" ht="31.5" x14ac:dyDescent="0.25">
      <c r="A86" s="1" t="s">
        <v>400</v>
      </c>
      <c r="B86" s="147" t="s">
        <v>403</v>
      </c>
      <c r="C86" s="148">
        <v>300000</v>
      </c>
      <c r="D86" s="148">
        <v>2</v>
      </c>
      <c r="E86" s="148">
        <f>C86*D86</f>
        <v>600000</v>
      </c>
      <c r="F86" s="149"/>
      <c r="G86" s="149">
        <v>800000</v>
      </c>
      <c r="H86" s="149" t="s">
        <v>322</v>
      </c>
      <c r="I86" s="150" t="s">
        <v>404</v>
      </c>
    </row>
    <row r="87" spans="1:15" x14ac:dyDescent="0.25">
      <c r="A87" s="1" t="s">
        <v>401</v>
      </c>
      <c r="B87" s="147" t="s">
        <v>402</v>
      </c>
      <c r="C87" s="148">
        <v>10000</v>
      </c>
      <c r="D87" s="148">
        <v>4</v>
      </c>
      <c r="E87" s="149"/>
      <c r="F87" s="149"/>
      <c r="G87" s="149">
        <v>40000</v>
      </c>
      <c r="H87" s="149"/>
      <c r="I87" s="149"/>
    </row>
    <row r="88" spans="1:15" x14ac:dyDescent="0.25">
      <c r="A88" s="151"/>
      <c r="B88" s="152"/>
      <c r="C88" s="148"/>
      <c r="D88" s="148"/>
      <c r="E88" s="149"/>
      <c r="F88" s="149"/>
      <c r="G88" s="149">
        <f>350000-65000-280000-5000</f>
        <v>0</v>
      </c>
      <c r="H88" s="149"/>
      <c r="I88" s="149" t="s">
        <v>327</v>
      </c>
    </row>
    <row r="89" spans="1:15" x14ac:dyDescent="0.25">
      <c r="A89" s="233" t="s">
        <v>45</v>
      </c>
      <c r="B89" s="234"/>
      <c r="C89" s="13"/>
      <c r="D89" s="13"/>
      <c r="E89" s="27">
        <f>SUM(E84:E86)</f>
        <v>600000</v>
      </c>
      <c r="F89" s="27"/>
      <c r="G89" s="27">
        <f>SUM(G84:G88)</f>
        <v>990000</v>
      </c>
      <c r="H89" s="27"/>
      <c r="I89" s="27"/>
      <c r="K89">
        <f>150000-46523</f>
        <v>103477</v>
      </c>
    </row>
    <row r="90" spans="1:15" x14ac:dyDescent="0.25">
      <c r="A90" s="25"/>
      <c r="B90" s="33"/>
      <c r="C90" s="32"/>
      <c r="D90" s="32"/>
      <c r="E90" s="27"/>
      <c r="F90" s="27"/>
      <c r="G90" s="27"/>
      <c r="H90" s="27"/>
      <c r="I90" s="27"/>
    </row>
    <row r="91" spans="1:15" x14ac:dyDescent="0.25">
      <c r="B91" s="146" t="s">
        <v>122</v>
      </c>
      <c r="E91" s="27">
        <f>E42+E57+E74+E77+E81+E89+J61</f>
        <v>2324050</v>
      </c>
      <c r="F91" s="27">
        <f>F42+F57+F74+F77+F79+F81+F89</f>
        <v>2465400</v>
      </c>
      <c r="G91" s="143">
        <f>G42+G57+G74+G77+G79+G81+G89+G112</f>
        <v>5534943.5</v>
      </c>
      <c r="H91" s="27"/>
    </row>
    <row r="92" spans="1:15" x14ac:dyDescent="0.25">
      <c r="C92">
        <f>E42+E57+E74</f>
        <v>1078827</v>
      </c>
      <c r="O92" s="31"/>
    </row>
    <row r="93" spans="1:15" ht="25.5" x14ac:dyDescent="0.25">
      <c r="C93">
        <v>820000</v>
      </c>
      <c r="O93" s="30" t="s">
        <v>114</v>
      </c>
    </row>
    <row r="94" spans="1:15" x14ac:dyDescent="0.25">
      <c r="C94">
        <v>368347</v>
      </c>
      <c r="O94" s="29">
        <f>L77*N77</f>
        <v>2500</v>
      </c>
    </row>
    <row r="95" spans="1:15" ht="16.5" thickBot="1" x14ac:dyDescent="0.3">
      <c r="C95">
        <v>10800</v>
      </c>
      <c r="O95" s="29">
        <f>L78*N78</f>
        <v>180</v>
      </c>
    </row>
    <row r="96" spans="1:15" ht="16.5" thickBot="1" x14ac:dyDescent="0.3">
      <c r="I96" s="100"/>
      <c r="J96" s="100"/>
      <c r="O96" s="29">
        <f>L82*N82</f>
        <v>420</v>
      </c>
    </row>
    <row r="97" spans="1:11" x14ac:dyDescent="0.25">
      <c r="C97">
        <f>SUM(C92:C96)</f>
        <v>2277974</v>
      </c>
    </row>
    <row r="99" spans="1:11" x14ac:dyDescent="0.25">
      <c r="C99">
        <f>C100-C97</f>
        <v>-562409</v>
      </c>
    </row>
    <row r="100" spans="1:11" x14ac:dyDescent="0.25">
      <c r="C100">
        <v>1715565</v>
      </c>
    </row>
    <row r="103" spans="1:11" x14ac:dyDescent="0.25">
      <c r="C103" s="20">
        <v>2000</v>
      </c>
    </row>
    <row r="104" spans="1:11" x14ac:dyDescent="0.25">
      <c r="E104"/>
    </row>
    <row r="105" spans="1:11" x14ac:dyDescent="0.25">
      <c r="A105" s="1" t="s">
        <v>57</v>
      </c>
      <c r="B105" s="147" t="s">
        <v>58</v>
      </c>
      <c r="C105" s="145">
        <v>2.8678560000000002</v>
      </c>
      <c r="D105" s="144" t="e">
        <f>F105/C105</f>
        <v>#REF!</v>
      </c>
      <c r="E105" s="101"/>
      <c r="F105" s="101" t="e">
        <f>#REF!</f>
        <v>#REF!</v>
      </c>
      <c r="G105" s="155">
        <v>519029.5</v>
      </c>
      <c r="H105" s="123"/>
      <c r="J105">
        <f>422500+148800</f>
        <v>571300</v>
      </c>
      <c r="K105">
        <f>J105/2.906052</f>
        <v>196589.73755459298</v>
      </c>
    </row>
    <row r="106" spans="1:11" x14ac:dyDescent="0.25">
      <c r="A106" s="1" t="s">
        <v>398</v>
      </c>
      <c r="B106" s="147" t="s">
        <v>399</v>
      </c>
      <c r="C106" s="145"/>
      <c r="D106" s="144"/>
      <c r="E106" s="101"/>
      <c r="F106" s="101"/>
      <c r="G106" s="155">
        <v>199500</v>
      </c>
      <c r="H106" s="123"/>
    </row>
    <row r="107" spans="1:11" x14ac:dyDescent="0.25">
      <c r="A107" s="1" t="s">
        <v>101</v>
      </c>
      <c r="B107" s="147" t="s">
        <v>100</v>
      </c>
      <c r="C107" s="145">
        <v>14.97372</v>
      </c>
      <c r="D107" s="144">
        <v>2000</v>
      </c>
      <c r="E107" s="101"/>
      <c r="F107" s="101"/>
      <c r="G107" s="155">
        <f>C107*D107+2.56</f>
        <v>29950</v>
      </c>
      <c r="H107" s="123"/>
    </row>
    <row r="108" spans="1:11" x14ac:dyDescent="0.25">
      <c r="A108" s="1" t="s">
        <v>99</v>
      </c>
      <c r="B108" s="147" t="s">
        <v>98</v>
      </c>
      <c r="C108" s="145">
        <v>0.85572000000000004</v>
      </c>
      <c r="D108" s="144">
        <v>2000</v>
      </c>
      <c r="E108" s="101"/>
      <c r="F108" s="101"/>
      <c r="G108" s="155">
        <f>C108*D108-1.44</f>
        <v>1710</v>
      </c>
      <c r="H108" s="123"/>
    </row>
    <row r="109" spans="1:11" x14ac:dyDescent="0.25">
      <c r="A109" s="1" t="s">
        <v>59</v>
      </c>
      <c r="B109" s="147" t="s">
        <v>60</v>
      </c>
      <c r="C109" s="13">
        <v>2448.65</v>
      </c>
      <c r="D109" s="13">
        <v>320</v>
      </c>
      <c r="E109" s="13"/>
      <c r="F109" s="13" t="e">
        <f>#REF!</f>
        <v>#REF!</v>
      </c>
      <c r="G109" s="155">
        <f>C109*D109</f>
        <v>783568</v>
      </c>
      <c r="H109" s="32"/>
      <c r="I109" t="s">
        <v>103</v>
      </c>
      <c r="J109">
        <v>200000</v>
      </c>
      <c r="K109" t="s">
        <v>102</v>
      </c>
    </row>
    <row r="110" spans="1:11" x14ac:dyDescent="0.25">
      <c r="A110" s="1" t="s">
        <v>61</v>
      </c>
      <c r="B110" s="147" t="s">
        <v>62</v>
      </c>
      <c r="C110" s="13">
        <v>15.228</v>
      </c>
      <c r="D110" s="13">
        <v>500</v>
      </c>
      <c r="E110" s="13"/>
      <c r="F110" s="101" t="e">
        <f>#REF!</f>
        <v>#REF!</v>
      </c>
      <c r="G110" s="155">
        <f>C110*D110</f>
        <v>7614</v>
      </c>
      <c r="H110" s="123"/>
      <c r="I110" t="s">
        <v>321</v>
      </c>
      <c r="J110">
        <f>J109*K110</f>
        <v>505999.99999999994</v>
      </c>
      <c r="K110">
        <v>2.5299999999999998</v>
      </c>
    </row>
    <row r="111" spans="1:11" x14ac:dyDescent="0.25">
      <c r="A111" s="1" t="s">
        <v>63</v>
      </c>
      <c r="B111" s="147" t="s">
        <v>64</v>
      </c>
      <c r="C111" s="13">
        <v>9.1440000000000001</v>
      </c>
      <c r="D111" s="13">
        <v>500</v>
      </c>
      <c r="E111" s="13"/>
      <c r="F111" s="101" t="e">
        <f>#REF!</f>
        <v>#REF!</v>
      </c>
      <c r="G111" s="155">
        <f>C111*D111</f>
        <v>4572</v>
      </c>
      <c r="H111" s="123"/>
      <c r="I111" t="s">
        <v>320</v>
      </c>
      <c r="J111">
        <f>J109*K111</f>
        <v>194000</v>
      </c>
      <c r="K111">
        <v>0.97</v>
      </c>
    </row>
    <row r="112" spans="1:11" x14ac:dyDescent="0.25">
      <c r="A112" s="233" t="s">
        <v>45</v>
      </c>
      <c r="B112" s="234"/>
      <c r="C112" s="13"/>
      <c r="D112" s="13"/>
      <c r="E112" s="13"/>
      <c r="F112" s="27" t="e">
        <f>SUM(F105:F111)</f>
        <v>#REF!</v>
      </c>
      <c r="G112" s="143">
        <f>SUM(G105:G111)</f>
        <v>1545943.5</v>
      </c>
      <c r="H112" s="27"/>
      <c r="J112">
        <f>SUM(J110:J111)</f>
        <v>700000</v>
      </c>
    </row>
    <row r="113" spans="5:8" x14ac:dyDescent="0.25">
      <c r="E113"/>
    </row>
    <row r="114" spans="5:8" x14ac:dyDescent="0.25">
      <c r="E114"/>
    </row>
    <row r="115" spans="5:8" x14ac:dyDescent="0.25">
      <c r="H115"/>
    </row>
  </sheetData>
  <mergeCells count="14">
    <mergeCell ref="A1:E1"/>
    <mergeCell ref="A42:B42"/>
    <mergeCell ref="A44:E44"/>
    <mergeCell ref="A45:E45"/>
    <mergeCell ref="A57:B57"/>
    <mergeCell ref="A59:B59"/>
    <mergeCell ref="A89:B89"/>
    <mergeCell ref="A112:B112"/>
    <mergeCell ref="A60:B60"/>
    <mergeCell ref="A74:B74"/>
    <mergeCell ref="A76:B76"/>
    <mergeCell ref="A78:B78"/>
    <mergeCell ref="A80:B80"/>
    <mergeCell ref="A83:B83"/>
  </mergeCells>
  <dataValidations count="2">
    <dataValidation type="decimal" allowBlank="1" showInputMessage="1" showErrorMessage="1" errorTitle="Очікувана вартість" error="Очікувана вартість предмета закупівлі - тілько число" sqref="C73 C69 C62 A68 C103 A66 A70:A71 E61:H73 A61">
      <formula1>0</formula1>
      <formula2>1E+32</formula2>
    </dataValidation>
    <dataValidation type="textLength" allowBlank="1" showInputMessage="1" showErrorMessage="1" promptTitle="обов'язкове" prompt="обов'язкове" sqref="A73 A8:A10 A77 A79:A80">
      <formula1>1</formula1>
      <formula2>200000</formula2>
    </dataValidation>
  </dataValidations>
  <pageMargins left="0.19685039370078741" right="0.19685039370078741" top="0.19685039370078741" bottom="0.19685039370078741" header="0.19685039370078741" footer="0.19685039370078741"/>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3"/>
  <sheetViews>
    <sheetView zoomScale="70" zoomScaleNormal="70" workbookViewId="0">
      <selection activeCell="N5" sqref="N5"/>
    </sheetView>
  </sheetViews>
  <sheetFormatPr defaultColWidth="9.140625" defaultRowHeight="18.75" x14ac:dyDescent="0.25"/>
  <cols>
    <col min="1" max="1" width="4.85546875" style="37" customWidth="1"/>
    <col min="2" max="2" width="73.140625" style="37" customWidth="1"/>
    <col min="3" max="3" width="7.140625" style="38" customWidth="1"/>
    <col min="4" max="4" width="8.140625" style="38" customWidth="1"/>
    <col min="5" max="5" width="7.7109375" style="38" customWidth="1"/>
    <col min="6" max="6" width="14.140625" style="37" customWidth="1"/>
    <col min="7" max="7" width="12.140625" style="37" customWidth="1"/>
    <col min="8" max="8" width="12.85546875" style="37" customWidth="1"/>
    <col min="9" max="9" width="14.85546875" style="37" customWidth="1"/>
    <col min="10" max="10" width="15.7109375" style="37" customWidth="1"/>
    <col min="11" max="11" width="1.140625" style="37" hidden="1" customWidth="1"/>
    <col min="12" max="12" width="4.42578125" style="37" customWidth="1"/>
    <col min="13" max="13" width="17.140625" style="56" bestFit="1" customWidth="1"/>
    <col min="14" max="14" width="16" style="37" customWidth="1"/>
    <col min="15" max="17" width="16" style="37" bestFit="1" customWidth="1"/>
    <col min="18" max="18" width="11.140625" style="37" customWidth="1"/>
    <col min="19" max="19" width="9.140625" style="37"/>
    <col min="20" max="21" width="14" style="37" customWidth="1"/>
    <col min="22" max="16384" width="9.140625" style="37"/>
  </cols>
  <sheetData>
    <row r="1" spans="2:14" x14ac:dyDescent="0.25">
      <c r="G1" s="37" t="s">
        <v>128</v>
      </c>
    </row>
    <row r="2" spans="2:14" x14ac:dyDescent="0.25">
      <c r="B2" s="38"/>
      <c r="E2" s="37"/>
      <c r="F2" s="37" t="s">
        <v>129</v>
      </c>
    </row>
    <row r="3" spans="2:14" x14ac:dyDescent="0.25">
      <c r="B3" s="38"/>
      <c r="E3" s="37"/>
      <c r="F3" s="37" t="s">
        <v>130</v>
      </c>
      <c r="N3" s="37" t="s">
        <v>462</v>
      </c>
    </row>
    <row r="4" spans="2:14" x14ac:dyDescent="0.25">
      <c r="B4" s="38"/>
      <c r="E4" s="37"/>
    </row>
    <row r="5" spans="2:14" x14ac:dyDescent="0.25">
      <c r="B5" s="38"/>
      <c r="E5" s="37"/>
      <c r="F5" s="37" t="s">
        <v>131</v>
      </c>
      <c r="I5" s="37" t="s">
        <v>132</v>
      </c>
      <c r="N5" s="37" t="s">
        <v>463</v>
      </c>
    </row>
    <row r="6" spans="2:14" x14ac:dyDescent="0.25">
      <c r="N6" s="37" t="s">
        <v>464</v>
      </c>
    </row>
    <row r="7" spans="2:14" x14ac:dyDescent="0.25">
      <c r="H7" s="39" t="s">
        <v>133</v>
      </c>
      <c r="I7" s="40" t="s">
        <v>134</v>
      </c>
    </row>
    <row r="8" spans="2:14" x14ac:dyDescent="0.25">
      <c r="H8" s="39" t="s">
        <v>135</v>
      </c>
      <c r="I8" s="40"/>
    </row>
    <row r="9" spans="2:14" x14ac:dyDescent="0.25">
      <c r="H9" s="39" t="s">
        <v>136</v>
      </c>
      <c r="I9" s="40"/>
    </row>
    <row r="10" spans="2:14" x14ac:dyDescent="0.25">
      <c r="H10" s="39" t="s">
        <v>137</v>
      </c>
      <c r="I10" s="40"/>
    </row>
    <row r="11" spans="2:14" x14ac:dyDescent="0.25">
      <c r="H11" s="264" t="s">
        <v>138</v>
      </c>
      <c r="I11" s="265"/>
    </row>
    <row r="13" spans="2:14" x14ac:dyDescent="0.25">
      <c r="C13" s="266"/>
      <c r="D13" s="266"/>
      <c r="E13" s="266"/>
      <c r="F13" s="266"/>
      <c r="I13" s="252" t="s">
        <v>139</v>
      </c>
      <c r="J13" s="252"/>
    </row>
    <row r="14" spans="2:14" x14ac:dyDescent="0.25">
      <c r="B14" s="42" t="s">
        <v>140</v>
      </c>
      <c r="C14" s="267" t="s">
        <v>141</v>
      </c>
      <c r="D14" s="267"/>
      <c r="E14" s="267"/>
      <c r="F14" s="267"/>
      <c r="G14" s="267"/>
      <c r="H14" s="43"/>
      <c r="I14" s="39" t="s">
        <v>142</v>
      </c>
      <c r="J14" s="40">
        <v>39007143</v>
      </c>
    </row>
    <row r="15" spans="2:14" x14ac:dyDescent="0.25">
      <c r="B15" s="42" t="s">
        <v>143</v>
      </c>
      <c r="C15" s="257" t="s">
        <v>144</v>
      </c>
      <c r="D15" s="257"/>
      <c r="E15" s="257"/>
      <c r="F15" s="257"/>
      <c r="G15" s="44"/>
      <c r="H15" s="45"/>
      <c r="I15" s="39" t="s">
        <v>145</v>
      </c>
      <c r="J15" s="40">
        <v>150</v>
      </c>
    </row>
    <row r="16" spans="2:14" x14ac:dyDescent="0.25">
      <c r="B16" s="42" t="s">
        <v>146</v>
      </c>
      <c r="C16" s="257" t="s">
        <v>147</v>
      </c>
      <c r="D16" s="257"/>
      <c r="E16" s="257"/>
      <c r="F16" s="257"/>
      <c r="G16" s="44"/>
      <c r="H16" s="45"/>
      <c r="I16" s="39" t="s">
        <v>148</v>
      </c>
      <c r="J16" s="40">
        <v>2610600000</v>
      </c>
    </row>
    <row r="17" spans="2:18" x14ac:dyDescent="0.25">
      <c r="B17" s="42" t="s">
        <v>149</v>
      </c>
      <c r="C17" s="257"/>
      <c r="D17" s="257"/>
      <c r="E17" s="257"/>
      <c r="F17" s="257"/>
      <c r="G17" s="46"/>
      <c r="H17" s="43"/>
      <c r="I17" s="39" t="s">
        <v>150</v>
      </c>
      <c r="J17" s="40"/>
    </row>
    <row r="18" spans="2:18" x14ac:dyDescent="0.25">
      <c r="B18" s="42" t="s">
        <v>151</v>
      </c>
      <c r="C18" s="257"/>
      <c r="D18" s="257"/>
      <c r="E18" s="257"/>
      <c r="F18" s="257"/>
      <c r="G18" s="46"/>
      <c r="H18" s="43"/>
      <c r="I18" s="39" t="s">
        <v>152</v>
      </c>
      <c r="J18" s="40"/>
    </row>
    <row r="19" spans="2:18" x14ac:dyDescent="0.25">
      <c r="B19" s="42" t="s">
        <v>153</v>
      </c>
      <c r="C19" s="257"/>
      <c r="D19" s="257"/>
      <c r="E19" s="257"/>
      <c r="F19" s="257"/>
      <c r="G19" s="46"/>
      <c r="H19" s="47"/>
      <c r="I19" s="48" t="s">
        <v>154</v>
      </c>
      <c r="J19" s="40" t="s">
        <v>155</v>
      </c>
    </row>
    <row r="20" spans="2:18" x14ac:dyDescent="0.25">
      <c r="B20" s="42" t="s">
        <v>156</v>
      </c>
      <c r="C20" s="257"/>
      <c r="D20" s="257"/>
      <c r="E20" s="257"/>
      <c r="F20" s="257"/>
      <c r="G20" s="257" t="s">
        <v>157</v>
      </c>
      <c r="H20" s="258"/>
      <c r="I20" s="259"/>
      <c r="J20" s="49" t="s">
        <v>134</v>
      </c>
    </row>
    <row r="21" spans="2:18" x14ac:dyDescent="0.25">
      <c r="B21" s="42" t="s">
        <v>158</v>
      </c>
      <c r="C21" s="257" t="s">
        <v>159</v>
      </c>
      <c r="D21" s="257"/>
      <c r="E21" s="257"/>
      <c r="F21" s="257"/>
      <c r="G21" s="257" t="s">
        <v>160</v>
      </c>
      <c r="H21" s="258"/>
      <c r="I21" s="259"/>
      <c r="J21" s="50"/>
    </row>
    <row r="22" spans="2:18" x14ac:dyDescent="0.25">
      <c r="B22" s="42" t="s">
        <v>161</v>
      </c>
      <c r="C22" s="260">
        <v>220</v>
      </c>
      <c r="D22" s="260"/>
      <c r="E22" s="260"/>
      <c r="F22" s="260"/>
      <c r="G22" s="46"/>
      <c r="H22" s="46"/>
      <c r="I22" s="46"/>
      <c r="J22" s="43"/>
    </row>
    <row r="23" spans="2:18" x14ac:dyDescent="0.25">
      <c r="B23" s="42" t="s">
        <v>162</v>
      </c>
      <c r="C23" s="257" t="s">
        <v>163</v>
      </c>
      <c r="D23" s="257"/>
      <c r="E23" s="257"/>
      <c r="F23" s="257"/>
      <c r="G23" s="257"/>
      <c r="H23" s="257"/>
      <c r="I23" s="257"/>
      <c r="J23" s="261"/>
    </row>
    <row r="24" spans="2:18" x14ac:dyDescent="0.25">
      <c r="B24" s="42" t="s">
        <v>164</v>
      </c>
      <c r="C24" s="268" t="s">
        <v>165</v>
      </c>
      <c r="D24" s="268"/>
      <c r="E24" s="268"/>
      <c r="F24" s="268"/>
      <c r="G24" s="46"/>
      <c r="H24" s="46"/>
      <c r="I24" s="46"/>
      <c r="J24" s="43"/>
    </row>
    <row r="25" spans="2:18" x14ac:dyDescent="0.25">
      <c r="B25" s="42" t="s">
        <v>166</v>
      </c>
      <c r="C25" s="260" t="s">
        <v>167</v>
      </c>
      <c r="D25" s="260"/>
      <c r="E25" s="260"/>
      <c r="F25" s="260"/>
      <c r="G25" s="44"/>
      <c r="H25" s="44"/>
      <c r="I25" s="44"/>
      <c r="J25" s="45"/>
    </row>
    <row r="27" spans="2:18" x14ac:dyDescent="0.25">
      <c r="B27" s="269" t="s">
        <v>296</v>
      </c>
      <c r="C27" s="269"/>
      <c r="D27" s="269"/>
      <c r="E27" s="269"/>
      <c r="F27" s="269"/>
      <c r="G27" s="269"/>
      <c r="H27" s="269"/>
      <c r="I27" s="269"/>
      <c r="J27" s="269"/>
    </row>
    <row r="28" spans="2:18" x14ac:dyDescent="0.25">
      <c r="B28" s="270"/>
      <c r="C28" s="270"/>
      <c r="D28" s="270"/>
      <c r="E28" s="270"/>
      <c r="F28" s="270"/>
      <c r="G28" s="270"/>
      <c r="H28" s="270"/>
      <c r="I28" s="270"/>
      <c r="J28" s="270"/>
      <c r="K28" s="52"/>
      <c r="L28" s="52"/>
      <c r="M28" s="52"/>
      <c r="N28" s="52"/>
      <c r="O28" s="52"/>
      <c r="P28" s="52"/>
      <c r="Q28" s="52"/>
      <c r="R28" s="52"/>
    </row>
    <row r="29" spans="2:18" x14ac:dyDescent="0.25">
      <c r="B29" s="51"/>
      <c r="C29" s="53"/>
      <c r="D29" s="51"/>
      <c r="E29" s="51"/>
      <c r="F29" s="51"/>
      <c r="G29" s="51"/>
      <c r="H29" s="51"/>
      <c r="I29" s="51"/>
      <c r="J29" s="51" t="s">
        <v>168</v>
      </c>
    </row>
    <row r="30" spans="2:18" x14ac:dyDescent="0.25">
      <c r="B30" s="252" t="s">
        <v>169</v>
      </c>
      <c r="C30" s="256" t="s">
        <v>170</v>
      </c>
      <c r="D30" s="253" t="s">
        <v>171</v>
      </c>
      <c r="E30" s="253" t="s">
        <v>172</v>
      </c>
      <c r="F30" s="256" t="s">
        <v>173</v>
      </c>
      <c r="G30" s="247" t="s">
        <v>174</v>
      </c>
      <c r="H30" s="247"/>
      <c r="I30" s="247"/>
      <c r="J30" s="247"/>
      <c r="K30" s="247" t="s">
        <v>175</v>
      </c>
      <c r="L30" s="53"/>
      <c r="M30" s="51"/>
      <c r="N30" s="53"/>
      <c r="O30" s="53"/>
      <c r="P30" s="53"/>
      <c r="Q30" s="53"/>
      <c r="R30" s="53"/>
    </row>
    <row r="31" spans="2:18" x14ac:dyDescent="0.25">
      <c r="B31" s="252"/>
      <c r="C31" s="256"/>
      <c r="D31" s="253"/>
      <c r="E31" s="253"/>
      <c r="F31" s="256"/>
      <c r="G31" s="54" t="s">
        <v>176</v>
      </c>
      <c r="H31" s="54" t="s">
        <v>177</v>
      </c>
      <c r="I31" s="54" t="s">
        <v>178</v>
      </c>
      <c r="J31" s="54" t="s">
        <v>179</v>
      </c>
      <c r="K31" s="247"/>
      <c r="L31" s="53"/>
      <c r="M31" s="51"/>
      <c r="N31" s="53"/>
      <c r="O31" s="53"/>
      <c r="P31" s="53"/>
      <c r="Q31" s="53"/>
      <c r="R31" s="53"/>
    </row>
    <row r="32" spans="2:18" x14ac:dyDescent="0.25">
      <c r="B32" s="40">
        <v>1</v>
      </c>
      <c r="C32" s="49">
        <v>2</v>
      </c>
      <c r="D32" s="49">
        <v>3</v>
      </c>
      <c r="E32" s="49">
        <v>4</v>
      </c>
      <c r="F32" s="49">
        <v>5</v>
      </c>
      <c r="G32" s="49">
        <v>6</v>
      </c>
      <c r="H32" s="49">
        <v>7</v>
      </c>
      <c r="I32" s="49">
        <v>8</v>
      </c>
      <c r="J32" s="49">
        <v>9</v>
      </c>
      <c r="K32" s="49">
        <v>10</v>
      </c>
      <c r="L32" s="53"/>
      <c r="M32" s="51"/>
      <c r="N32" s="53"/>
      <c r="O32" s="53"/>
      <c r="P32" s="53"/>
      <c r="Q32" s="53"/>
      <c r="R32" s="53"/>
    </row>
    <row r="33" spans="1:21" x14ac:dyDescent="0.25">
      <c r="B33" s="248" t="s">
        <v>180</v>
      </c>
      <c r="C33" s="248"/>
      <c r="D33" s="248"/>
      <c r="E33" s="248"/>
      <c r="F33" s="248"/>
      <c r="G33" s="248"/>
      <c r="H33" s="248"/>
      <c r="I33" s="248"/>
      <c r="J33" s="249"/>
      <c r="K33" s="49"/>
      <c r="L33" s="53"/>
      <c r="M33" s="51"/>
      <c r="N33" s="53"/>
      <c r="O33" s="53"/>
      <c r="P33" s="53"/>
      <c r="Q33" s="53"/>
      <c r="R33" s="53"/>
    </row>
    <row r="34" spans="1:21" s="56" customFormat="1" x14ac:dyDescent="0.25">
      <c r="B34" s="250" t="s">
        <v>181</v>
      </c>
      <c r="C34" s="250"/>
      <c r="D34" s="250"/>
      <c r="E34" s="250"/>
      <c r="F34" s="250"/>
      <c r="G34" s="250"/>
      <c r="H34" s="250"/>
      <c r="I34" s="250"/>
      <c r="J34" s="250"/>
      <c r="K34" s="250"/>
      <c r="L34" s="117"/>
      <c r="M34" s="117"/>
      <c r="N34" s="117"/>
      <c r="O34" s="117"/>
      <c r="P34" s="117"/>
      <c r="Q34" s="117"/>
      <c r="R34" s="117"/>
    </row>
    <row r="35" spans="1:21" s="56" customFormat="1" ht="36.75" customHeight="1" x14ac:dyDescent="0.25">
      <c r="A35" s="56">
        <v>1</v>
      </c>
      <c r="B35" s="57" t="s">
        <v>182</v>
      </c>
      <c r="C35" s="58">
        <v>100</v>
      </c>
      <c r="D35" s="59"/>
      <c r="E35" s="59"/>
      <c r="F35" s="60">
        <f t="shared" ref="F35:F44" si="0">SUM(G35:J35)</f>
        <v>31200</v>
      </c>
      <c r="G35" s="61">
        <f>-(G41+G60+G75+G86)-G37</f>
        <v>7314.3</v>
      </c>
      <c r="H35" s="61">
        <f>-(H41+H60+H75+H86)-H37</f>
        <v>8148.4</v>
      </c>
      <c r="I35" s="61">
        <f>-(I41+I60+I75+I86)-I37</f>
        <v>8148.5</v>
      </c>
      <c r="J35" s="61">
        <f>-(J41+J60+J75+J86)-J37</f>
        <v>7588.7999999999993</v>
      </c>
      <c r="K35" s="62" t="s">
        <v>183</v>
      </c>
      <c r="L35" s="87"/>
      <c r="M35" s="159"/>
      <c r="N35" s="87"/>
      <c r="O35" s="87"/>
      <c r="P35" s="87"/>
      <c r="Q35" s="87"/>
      <c r="R35" s="87"/>
      <c r="S35" s="124">
        <v>1196</v>
      </c>
    </row>
    <row r="36" spans="1:21" s="56" customFormat="1" ht="55.5" customHeight="1" x14ac:dyDescent="0.25">
      <c r="A36" s="56">
        <v>2</v>
      </c>
      <c r="B36" s="57" t="s">
        <v>414</v>
      </c>
      <c r="C36" s="58">
        <v>110</v>
      </c>
      <c r="D36" s="59"/>
      <c r="E36" s="59"/>
      <c r="F36" s="60">
        <f t="shared" si="0"/>
        <v>22.8</v>
      </c>
      <c r="G36" s="61">
        <f>G94</f>
        <v>6.6000000000000005</v>
      </c>
      <c r="H36" s="61">
        <f>H94</f>
        <v>5.4</v>
      </c>
      <c r="I36" s="61">
        <f>I94</f>
        <v>4.8000000000000007</v>
      </c>
      <c r="J36" s="61">
        <f>J94</f>
        <v>6</v>
      </c>
      <c r="K36" s="62" t="s">
        <v>126</v>
      </c>
      <c r="L36" s="87"/>
      <c r="M36" s="159"/>
      <c r="N36" s="87"/>
      <c r="O36" s="87"/>
      <c r="P36" s="87"/>
      <c r="Q36" s="87"/>
      <c r="R36" s="87"/>
    </row>
    <row r="37" spans="1:21" s="56" customFormat="1" ht="37.5" x14ac:dyDescent="0.25">
      <c r="A37" s="56">
        <v>3</v>
      </c>
      <c r="B37" s="57" t="s">
        <v>184</v>
      </c>
      <c r="C37" s="58">
        <v>120</v>
      </c>
      <c r="D37" s="59"/>
      <c r="E37" s="59"/>
      <c r="F37" s="60">
        <f t="shared" si="0"/>
        <v>0</v>
      </c>
      <c r="G37" s="61">
        <f>G38+G39+G40</f>
        <v>0</v>
      </c>
      <c r="H37" s="61">
        <f>H38+H39+H40</f>
        <v>0</v>
      </c>
      <c r="I37" s="61">
        <f>I38+I39+I40</f>
        <v>0</v>
      </c>
      <c r="J37" s="61">
        <f>J38+J39+J40</f>
        <v>0</v>
      </c>
      <c r="K37" s="62"/>
      <c r="L37" s="87"/>
      <c r="M37" s="159"/>
      <c r="N37" s="87"/>
      <c r="O37" s="87"/>
      <c r="P37" s="87"/>
      <c r="Q37" s="87"/>
      <c r="R37" s="87"/>
    </row>
    <row r="38" spans="1:21" s="56" customFormat="1" ht="56.25" x14ac:dyDescent="0.25">
      <c r="A38" s="56">
        <v>4</v>
      </c>
      <c r="B38" s="63" t="s">
        <v>185</v>
      </c>
      <c r="C38" s="64">
        <v>121</v>
      </c>
      <c r="D38" s="59"/>
      <c r="E38" s="59"/>
      <c r="F38" s="60">
        <f t="shared" si="0"/>
        <v>0</v>
      </c>
      <c r="G38" s="61"/>
      <c r="H38" s="61"/>
      <c r="I38" s="61"/>
      <c r="J38" s="61"/>
      <c r="K38" s="62"/>
      <c r="L38" s="87"/>
      <c r="M38" s="159"/>
      <c r="N38" s="87"/>
      <c r="O38" s="87"/>
      <c r="P38" s="87"/>
      <c r="Q38" s="87"/>
      <c r="R38" s="87"/>
    </row>
    <row r="39" spans="1:21" s="56" customFormat="1" ht="37.5" x14ac:dyDescent="0.25">
      <c r="A39" s="56">
        <v>5</v>
      </c>
      <c r="B39" s="63" t="s">
        <v>186</v>
      </c>
      <c r="C39" s="64">
        <v>122</v>
      </c>
      <c r="D39" s="59"/>
      <c r="E39" s="59"/>
      <c r="F39" s="60">
        <f t="shared" si="0"/>
        <v>0</v>
      </c>
      <c r="G39" s="61"/>
      <c r="H39" s="61"/>
      <c r="I39" s="61">
        <v>0</v>
      </c>
      <c r="J39" s="61">
        <v>0</v>
      </c>
      <c r="K39" s="62"/>
      <c r="L39" s="87"/>
      <c r="M39" s="159"/>
      <c r="N39" s="87"/>
      <c r="O39" s="87"/>
      <c r="P39" s="87"/>
      <c r="Q39" s="87"/>
      <c r="R39" s="87"/>
    </row>
    <row r="40" spans="1:21" s="56" customFormat="1" ht="64.5" customHeight="1" x14ac:dyDescent="0.25">
      <c r="A40" s="56">
        <v>6</v>
      </c>
      <c r="B40" s="63" t="s">
        <v>187</v>
      </c>
      <c r="C40" s="64">
        <v>123</v>
      </c>
      <c r="D40" s="59"/>
      <c r="E40" s="59"/>
      <c r="F40" s="60">
        <f t="shared" si="0"/>
        <v>0</v>
      </c>
      <c r="G40" s="61"/>
      <c r="H40" s="61"/>
      <c r="I40" s="61"/>
      <c r="J40" s="61"/>
      <c r="K40" s="62" t="s">
        <v>188</v>
      </c>
      <c r="L40" s="87"/>
      <c r="M40" s="159"/>
      <c r="N40" s="87"/>
      <c r="O40" s="87"/>
      <c r="P40" s="87"/>
      <c r="Q40" s="87"/>
      <c r="R40" s="87"/>
    </row>
    <row r="41" spans="1:21" x14ac:dyDescent="0.25">
      <c r="A41" s="56">
        <v>7</v>
      </c>
      <c r="B41" s="57" t="s">
        <v>189</v>
      </c>
      <c r="C41" s="58">
        <v>130</v>
      </c>
      <c r="D41" s="65">
        <f>SUM(D42:D59)</f>
        <v>0</v>
      </c>
      <c r="E41" s="65">
        <f>SUM(E42:E59)</f>
        <v>0</v>
      </c>
      <c r="F41" s="66">
        <f t="shared" si="0"/>
        <v>-24317</v>
      </c>
      <c r="G41" s="60">
        <f>G42+G45+G46+G51+SUM(G52:G59)</f>
        <v>-5926.6</v>
      </c>
      <c r="H41" s="60">
        <f>H42+H45+H46+H51+SUM(H52:H59)</f>
        <v>-5900.2</v>
      </c>
      <c r="I41" s="60">
        <f>I42+I45+I46+I51+SUM(I52:I59)</f>
        <v>-6236.3</v>
      </c>
      <c r="J41" s="60">
        <f>J42+J45+J46+J51+SUM(J52:J59)</f>
        <v>-6253.9</v>
      </c>
      <c r="K41" s="62"/>
      <c r="L41" s="87"/>
      <c r="M41" s="159"/>
      <c r="N41" s="87"/>
      <c r="O41" s="87"/>
      <c r="P41" s="87"/>
      <c r="Q41" s="87"/>
      <c r="R41" s="87"/>
    </row>
    <row r="42" spans="1:21" s="69" customFormat="1" x14ac:dyDescent="0.25">
      <c r="A42" s="56">
        <v>8</v>
      </c>
      <c r="B42" s="57" t="s">
        <v>190</v>
      </c>
      <c r="C42" s="49">
        <v>140</v>
      </c>
      <c r="D42" s="67"/>
      <c r="E42" s="67"/>
      <c r="F42" s="66">
        <f t="shared" si="0"/>
        <v>-696</v>
      </c>
      <c r="G42" s="68">
        <f>SUM(G43:G44)</f>
        <v>-170</v>
      </c>
      <c r="H42" s="68">
        <f>SUM(H43:H44)</f>
        <v>-185</v>
      </c>
      <c r="I42" s="68">
        <f>SUM(I43:I44)</f>
        <v>-185</v>
      </c>
      <c r="J42" s="68">
        <f>SUM(J43:J44)</f>
        <v>-156</v>
      </c>
      <c r="K42" s="62"/>
      <c r="L42" s="87"/>
      <c r="M42" s="159"/>
      <c r="N42" s="87"/>
      <c r="O42" s="87"/>
      <c r="P42" s="87"/>
      <c r="Q42" s="87"/>
      <c r="R42" s="87"/>
    </row>
    <row r="43" spans="1:21" s="69" customFormat="1" x14ac:dyDescent="0.25">
      <c r="A43" s="56">
        <v>9</v>
      </c>
      <c r="B43" s="63" t="s">
        <v>191</v>
      </c>
      <c r="C43" s="70">
        <v>141</v>
      </c>
      <c r="D43" s="59"/>
      <c r="E43" s="59"/>
      <c r="F43" s="60">
        <f t="shared" si="0"/>
        <v>-530</v>
      </c>
      <c r="G43" s="61">
        <v>-125</v>
      </c>
      <c r="H43" s="61">
        <v>-140</v>
      </c>
      <c r="I43" s="61">
        <v>-140</v>
      </c>
      <c r="J43" s="61">
        <v>-125</v>
      </c>
      <c r="K43" s="62"/>
      <c r="L43" s="87"/>
      <c r="M43" s="162">
        <f>N43+O43+P43+Q43</f>
        <v>714000</v>
      </c>
      <c r="N43" s="163">
        <v>178500</v>
      </c>
      <c r="O43" s="163">
        <v>178500</v>
      </c>
      <c r="P43" s="163">
        <v>178500</v>
      </c>
      <c r="Q43" s="163">
        <v>178500</v>
      </c>
      <c r="R43" s="87"/>
      <c r="S43" s="69">
        <v>2220</v>
      </c>
      <c r="T43" s="99" t="e">
        <f>#REF!</f>
        <v>#REF!</v>
      </c>
      <c r="U43" s="99" t="e">
        <f>#REF!</f>
        <v>#REF!</v>
      </c>
    </row>
    <row r="44" spans="1:21" s="69" customFormat="1" ht="40.5" customHeight="1" x14ac:dyDescent="0.25">
      <c r="A44" s="56">
        <v>10</v>
      </c>
      <c r="B44" s="63" t="s">
        <v>192</v>
      </c>
      <c r="C44" s="70">
        <v>142</v>
      </c>
      <c r="D44" s="59"/>
      <c r="E44" s="59"/>
      <c r="F44" s="60">
        <f t="shared" si="0"/>
        <v>-166</v>
      </c>
      <c r="G44" s="61">
        <v>-45</v>
      </c>
      <c r="H44" s="61">
        <v>-45</v>
      </c>
      <c r="I44" s="61">
        <v>-45</v>
      </c>
      <c r="J44" s="61">
        <v>-31</v>
      </c>
      <c r="K44" s="62"/>
      <c r="L44" s="87"/>
      <c r="M44" s="159"/>
      <c r="N44" s="87"/>
      <c r="O44" s="87"/>
      <c r="P44" s="87"/>
      <c r="Q44" s="87"/>
      <c r="R44" s="87"/>
      <c r="S44" s="69">
        <v>2210</v>
      </c>
      <c r="T44" s="99" t="e">
        <f>#REF!</f>
        <v>#REF!</v>
      </c>
      <c r="U44" s="99" t="e">
        <f>#REF!</f>
        <v>#REF!</v>
      </c>
    </row>
    <row r="45" spans="1:21" s="69" customFormat="1" x14ac:dyDescent="0.25">
      <c r="A45" s="56">
        <v>11</v>
      </c>
      <c r="B45" s="57" t="s">
        <v>193</v>
      </c>
      <c r="C45" s="49">
        <v>150</v>
      </c>
      <c r="D45" s="59"/>
      <c r="E45" s="59"/>
      <c r="F45" s="60">
        <f t="shared" ref="F45:F75" si="1">SUM(G45:J45)</f>
        <v>-335.6</v>
      </c>
      <c r="G45" s="61">
        <v>-83.9</v>
      </c>
      <c r="H45" s="61">
        <v>-83.9</v>
      </c>
      <c r="I45" s="61">
        <v>-83.9</v>
      </c>
      <c r="J45" s="61">
        <v>-83.9</v>
      </c>
      <c r="K45" s="62"/>
      <c r="L45" s="87"/>
      <c r="M45" s="159"/>
      <c r="N45" s="87"/>
      <c r="O45" s="87"/>
      <c r="P45" s="87"/>
      <c r="Q45" s="87"/>
      <c r="R45" s="87"/>
      <c r="S45" s="69">
        <v>2210</v>
      </c>
      <c r="T45" s="69" t="e">
        <f>(#REF!+#REF!)/2</f>
        <v>#REF!</v>
      </c>
    </row>
    <row r="46" spans="1:21" s="69" customFormat="1" x14ac:dyDescent="0.25">
      <c r="A46" s="56">
        <v>12</v>
      </c>
      <c r="B46" s="57" t="s">
        <v>194</v>
      </c>
      <c r="C46" s="49">
        <v>160</v>
      </c>
      <c r="D46" s="67"/>
      <c r="E46" s="67"/>
      <c r="F46" s="71">
        <f>SUM(G46:J46)</f>
        <v>-1047.4000000000001</v>
      </c>
      <c r="G46" s="68">
        <f>SUM(G47:G50)</f>
        <v>-498.2</v>
      </c>
      <c r="H46" s="68">
        <f>SUM(H47:H50)</f>
        <v>-36.299999999999997</v>
      </c>
      <c r="I46" s="68">
        <f>SUM(I47:I50)</f>
        <v>-13.9</v>
      </c>
      <c r="J46" s="68">
        <f>SUM(J47:J50)</f>
        <v>-499</v>
      </c>
      <c r="K46" s="62"/>
      <c r="L46" s="87"/>
      <c r="M46" s="159"/>
      <c r="N46" s="87"/>
      <c r="O46" s="87"/>
      <c r="P46" s="87"/>
      <c r="Q46" s="87"/>
      <c r="R46" s="87"/>
      <c r="T46" s="99" t="e">
        <f>#REF!</f>
        <v>#REF!</v>
      </c>
      <c r="U46" s="99" t="e">
        <f>#REF!</f>
        <v>#REF!</v>
      </c>
    </row>
    <row r="47" spans="1:21" s="69" customFormat="1" x14ac:dyDescent="0.25">
      <c r="A47" s="56">
        <v>13</v>
      </c>
      <c r="B47" s="63" t="s">
        <v>195</v>
      </c>
      <c r="C47" s="70">
        <v>161</v>
      </c>
      <c r="D47" s="59"/>
      <c r="E47" s="59"/>
      <c r="F47" s="60">
        <f t="shared" si="1"/>
        <v>-422.5</v>
      </c>
      <c r="G47" s="125">
        <v>-202.5</v>
      </c>
      <c r="H47" s="125">
        <v>-18.7</v>
      </c>
      <c r="I47" s="125">
        <v>-11.3</v>
      </c>
      <c r="J47" s="125">
        <v>-190</v>
      </c>
      <c r="K47" s="62"/>
      <c r="L47" s="87"/>
      <c r="M47" s="159"/>
      <c r="N47" s="87"/>
      <c r="O47" s="87"/>
      <c r="P47" s="87"/>
      <c r="Q47" s="87"/>
      <c r="R47" s="87"/>
      <c r="T47" s="99" t="e">
        <f>#REF!</f>
        <v>#REF!</v>
      </c>
      <c r="U47" s="99" t="e">
        <f>#REF!</f>
        <v>#REF!</v>
      </c>
    </row>
    <row r="48" spans="1:21" s="69" customFormat="1" x14ac:dyDescent="0.25">
      <c r="A48" s="56">
        <v>14</v>
      </c>
      <c r="B48" s="63" t="s">
        <v>196</v>
      </c>
      <c r="C48" s="70">
        <v>162</v>
      </c>
      <c r="D48" s="59"/>
      <c r="E48" s="59"/>
      <c r="F48" s="60">
        <f t="shared" si="1"/>
        <v>-11.2</v>
      </c>
      <c r="G48" s="125">
        <v>-3</v>
      </c>
      <c r="H48" s="125">
        <v>-2.6</v>
      </c>
      <c r="I48" s="125">
        <v>-2.6</v>
      </c>
      <c r="J48" s="125">
        <v>-3</v>
      </c>
      <c r="K48" s="62"/>
      <c r="L48" s="87"/>
      <c r="M48" s="159"/>
      <c r="N48" s="87"/>
      <c r="O48" s="87"/>
      <c r="P48" s="87"/>
      <c r="Q48" s="87"/>
      <c r="R48" s="87"/>
      <c r="T48" s="99" t="e">
        <f>#REF!</f>
        <v>#REF!</v>
      </c>
      <c r="U48" s="99" t="e">
        <f>#REF!</f>
        <v>#REF!</v>
      </c>
    </row>
    <row r="49" spans="1:21" s="69" customFormat="1" x14ac:dyDescent="0.25">
      <c r="A49" s="56">
        <v>15</v>
      </c>
      <c r="B49" s="63" t="s">
        <v>197</v>
      </c>
      <c r="C49" s="70">
        <v>163</v>
      </c>
      <c r="D49" s="59"/>
      <c r="E49" s="59"/>
      <c r="F49" s="60">
        <f t="shared" si="1"/>
        <v>-71.2</v>
      </c>
      <c r="G49" s="125">
        <v>-35.200000000000003</v>
      </c>
      <c r="H49" s="125">
        <v>0</v>
      </c>
      <c r="I49" s="125">
        <v>0</v>
      </c>
      <c r="J49" s="125">
        <v>-36</v>
      </c>
      <c r="K49" s="62"/>
      <c r="L49" s="87"/>
      <c r="M49" s="159"/>
      <c r="N49" s="87"/>
      <c r="O49" s="87"/>
      <c r="P49" s="87"/>
      <c r="Q49" s="87"/>
      <c r="R49" s="87"/>
    </row>
    <row r="50" spans="1:21" s="69" customFormat="1" x14ac:dyDescent="0.25">
      <c r="A50" s="56">
        <v>16</v>
      </c>
      <c r="B50" s="63" t="s">
        <v>198</v>
      </c>
      <c r="C50" s="70">
        <v>164</v>
      </c>
      <c r="D50" s="59"/>
      <c r="E50" s="59"/>
      <c r="F50" s="60">
        <f>SUM(G50:J50)</f>
        <v>-542.5</v>
      </c>
      <c r="G50" s="125">
        <v>-257.5</v>
      </c>
      <c r="H50" s="125">
        <v>-15</v>
      </c>
      <c r="I50" s="125">
        <v>0</v>
      </c>
      <c r="J50" s="125">
        <v>-270</v>
      </c>
      <c r="K50" s="62"/>
      <c r="L50" s="87"/>
      <c r="M50" s="159"/>
      <c r="N50" s="87"/>
      <c r="O50" s="87"/>
      <c r="P50" s="87"/>
      <c r="Q50" s="87"/>
      <c r="R50" s="87"/>
      <c r="T50" s="99" t="e">
        <f>#REF!</f>
        <v>#REF!</v>
      </c>
      <c r="U50" s="99" t="e">
        <f>#REF!</f>
        <v>#REF!</v>
      </c>
    </row>
    <row r="51" spans="1:21" s="69" customFormat="1" ht="37.5" x14ac:dyDescent="0.25">
      <c r="A51" s="56">
        <v>17</v>
      </c>
      <c r="B51" s="57" t="s">
        <v>199</v>
      </c>
      <c r="C51" s="49">
        <v>170</v>
      </c>
      <c r="D51" s="59"/>
      <c r="E51" s="59"/>
      <c r="F51" s="60">
        <f t="shared" si="1"/>
        <v>-658</v>
      </c>
      <c r="G51" s="61">
        <v>-100</v>
      </c>
      <c r="H51" s="61">
        <v>-179</v>
      </c>
      <c r="I51" s="61">
        <v>-179</v>
      </c>
      <c r="J51" s="61">
        <v>-200</v>
      </c>
      <c r="K51" s="62"/>
      <c r="L51" s="87"/>
      <c r="M51" s="159"/>
      <c r="N51" s="87"/>
      <c r="O51" s="87"/>
      <c r="P51" s="87"/>
      <c r="Q51" s="87"/>
      <c r="R51" s="87"/>
      <c r="S51" s="69">
        <v>2240</v>
      </c>
      <c r="T51" s="99" t="e">
        <f>#REF!</f>
        <v>#REF!</v>
      </c>
      <c r="U51" s="99" t="e">
        <f>#REF!</f>
        <v>#REF!</v>
      </c>
    </row>
    <row r="52" spans="1:21" s="69" customFormat="1" x14ac:dyDescent="0.25">
      <c r="A52" s="56">
        <v>18</v>
      </c>
      <c r="B52" s="57" t="s">
        <v>200</v>
      </c>
      <c r="C52" s="49">
        <v>180</v>
      </c>
      <c r="D52" s="59"/>
      <c r="E52" s="59"/>
      <c r="F52" s="60">
        <f>SUM(G52:J52)</f>
        <v>-17205</v>
      </c>
      <c r="G52" s="61">
        <v>-4030</v>
      </c>
      <c r="H52" s="61">
        <v>-4272</v>
      </c>
      <c r="I52" s="61">
        <v>-4613</v>
      </c>
      <c r="J52" s="61">
        <v>-4290</v>
      </c>
      <c r="K52" s="62"/>
      <c r="L52" s="87"/>
      <c r="M52" s="159"/>
      <c r="N52" s="87"/>
      <c r="O52" s="87"/>
      <c r="P52" s="87"/>
      <c r="Q52" s="87"/>
      <c r="R52" s="87"/>
    </row>
    <row r="53" spans="1:21" s="69" customFormat="1" x14ac:dyDescent="0.25">
      <c r="A53" s="56">
        <v>19</v>
      </c>
      <c r="B53" s="57" t="s">
        <v>201</v>
      </c>
      <c r="C53" s="49">
        <v>190</v>
      </c>
      <c r="D53" s="59"/>
      <c r="E53" s="59"/>
      <c r="F53" s="60">
        <f t="shared" si="1"/>
        <v>-3785</v>
      </c>
      <c r="G53" s="61">
        <v>-887</v>
      </c>
      <c r="H53" s="61">
        <v>-940</v>
      </c>
      <c r="I53" s="61">
        <v>-1015</v>
      </c>
      <c r="J53" s="61">
        <v>-943</v>
      </c>
      <c r="K53" s="62"/>
      <c r="L53" s="87"/>
      <c r="M53" s="159"/>
      <c r="N53" s="87"/>
      <c r="O53" s="87"/>
      <c r="P53" s="87"/>
      <c r="Q53" s="87"/>
      <c r="R53" s="87"/>
    </row>
    <row r="54" spans="1:21" s="69" customFormat="1" x14ac:dyDescent="0.25">
      <c r="A54" s="56">
        <v>20</v>
      </c>
      <c r="B54" s="57" t="s">
        <v>202</v>
      </c>
      <c r="C54" s="49">
        <v>200</v>
      </c>
      <c r="D54" s="59"/>
      <c r="E54" s="59"/>
      <c r="F54" s="60">
        <f t="shared" si="1"/>
        <v>-245</v>
      </c>
      <c r="G54" s="61">
        <v>-40</v>
      </c>
      <c r="H54" s="61">
        <v>-86.5</v>
      </c>
      <c r="I54" s="61">
        <v>-44.5</v>
      </c>
      <c r="J54" s="61">
        <v>-74</v>
      </c>
      <c r="K54" s="62"/>
      <c r="L54" s="87"/>
      <c r="M54" s="159"/>
      <c r="N54" s="87"/>
      <c r="O54" s="87"/>
      <c r="P54" s="87"/>
      <c r="Q54" s="87"/>
      <c r="R54" s="87"/>
      <c r="T54" s="99" t="e">
        <f>#REF!</f>
        <v>#REF!</v>
      </c>
      <c r="U54" s="99" t="e">
        <f>#REF!</f>
        <v>#REF!</v>
      </c>
    </row>
    <row r="55" spans="1:21" s="69" customFormat="1" x14ac:dyDescent="0.25">
      <c r="A55" s="56">
        <v>21</v>
      </c>
      <c r="B55" s="57" t="s">
        <v>203</v>
      </c>
      <c r="C55" s="49">
        <v>210</v>
      </c>
      <c r="D55" s="59"/>
      <c r="E55" s="59"/>
      <c r="F55" s="60">
        <f t="shared" si="1"/>
        <v>-45</v>
      </c>
      <c r="G55" s="61">
        <v>-17.5</v>
      </c>
      <c r="H55" s="61">
        <v>-17.5</v>
      </c>
      <c r="I55" s="61">
        <v>-2</v>
      </c>
      <c r="J55" s="61">
        <v>-8</v>
      </c>
      <c r="K55" s="62"/>
      <c r="L55" s="87"/>
      <c r="M55" s="159"/>
      <c r="N55" s="87"/>
      <c r="O55" s="87"/>
      <c r="P55" s="87"/>
      <c r="Q55" s="87"/>
      <c r="R55" s="87"/>
      <c r="T55" s="99" t="e">
        <f>#REF!</f>
        <v>#REF!</v>
      </c>
      <c r="U55" s="99" t="e">
        <f>#REF!</f>
        <v>#REF!</v>
      </c>
    </row>
    <row r="56" spans="1:21" s="69" customFormat="1" ht="42" customHeight="1" x14ac:dyDescent="0.25">
      <c r="A56" s="56">
        <v>22</v>
      </c>
      <c r="B56" s="57" t="s">
        <v>204</v>
      </c>
      <c r="C56" s="49">
        <v>220</v>
      </c>
      <c r="D56" s="59"/>
      <c r="E56" s="59"/>
      <c r="F56" s="60">
        <f t="shared" si="1"/>
        <v>0</v>
      </c>
      <c r="G56" s="61">
        <v>0</v>
      </c>
      <c r="H56" s="61">
        <v>0</v>
      </c>
      <c r="I56" s="61">
        <v>0</v>
      </c>
      <c r="J56" s="61">
        <v>0</v>
      </c>
      <c r="K56" s="62" t="s">
        <v>188</v>
      </c>
      <c r="L56" s="87"/>
      <c r="M56" s="159"/>
      <c r="N56" s="87"/>
      <c r="O56" s="87"/>
      <c r="P56" s="87"/>
      <c r="Q56" s="87"/>
      <c r="R56" s="87"/>
    </row>
    <row r="57" spans="1:21" s="69" customFormat="1" ht="41.25" customHeight="1" x14ac:dyDescent="0.25">
      <c r="A57" s="56">
        <v>23</v>
      </c>
      <c r="B57" s="57" t="s">
        <v>205</v>
      </c>
      <c r="C57" s="49">
        <v>230</v>
      </c>
      <c r="D57" s="59"/>
      <c r="E57" s="59"/>
      <c r="F57" s="60">
        <f t="shared" si="1"/>
        <v>-300</v>
      </c>
      <c r="G57" s="61">
        <v>-100</v>
      </c>
      <c r="H57" s="61">
        <v>-100</v>
      </c>
      <c r="I57" s="61">
        <v>-100</v>
      </c>
      <c r="J57" s="61">
        <v>0</v>
      </c>
      <c r="K57" s="62" t="s">
        <v>206</v>
      </c>
      <c r="L57" s="87"/>
      <c r="M57" s="159"/>
      <c r="N57" s="87"/>
      <c r="O57" s="87"/>
      <c r="P57" s="87"/>
      <c r="Q57" s="87"/>
      <c r="R57" s="87"/>
    </row>
    <row r="58" spans="1:21" s="69" customFormat="1" x14ac:dyDescent="0.25">
      <c r="A58" s="56">
        <v>24</v>
      </c>
      <c r="B58" s="57" t="s">
        <v>207</v>
      </c>
      <c r="C58" s="49">
        <v>240</v>
      </c>
      <c r="D58" s="59"/>
      <c r="E58" s="59"/>
      <c r="F58" s="60">
        <f t="shared" si="1"/>
        <v>0</v>
      </c>
      <c r="G58" s="61">
        <v>0</v>
      </c>
      <c r="H58" s="61">
        <v>0</v>
      </c>
      <c r="I58" s="61">
        <v>0</v>
      </c>
      <c r="J58" s="61">
        <v>0</v>
      </c>
      <c r="K58" s="62"/>
      <c r="L58" s="87"/>
      <c r="M58" s="159"/>
      <c r="N58" s="87"/>
      <c r="O58" s="87"/>
      <c r="P58" s="87"/>
      <c r="Q58" s="87"/>
      <c r="R58" s="87"/>
    </row>
    <row r="59" spans="1:21" s="69" customFormat="1" ht="20.25" customHeight="1" x14ac:dyDescent="0.25">
      <c r="A59" s="56">
        <v>25</v>
      </c>
      <c r="B59" s="57" t="s">
        <v>286</v>
      </c>
      <c r="C59" s="58">
        <v>250</v>
      </c>
      <c r="D59" s="59"/>
      <c r="E59" s="59"/>
      <c r="F59" s="60">
        <f t="shared" si="1"/>
        <v>0</v>
      </c>
      <c r="G59" s="61">
        <v>0</v>
      </c>
      <c r="H59" s="61">
        <v>0</v>
      </c>
      <c r="I59" s="61">
        <v>0</v>
      </c>
      <c r="J59" s="61">
        <v>0</v>
      </c>
      <c r="K59" s="62" t="s">
        <v>209</v>
      </c>
      <c r="L59" s="87"/>
      <c r="M59" s="159"/>
      <c r="N59" s="87"/>
      <c r="O59" s="87"/>
      <c r="P59" s="87"/>
      <c r="Q59" s="87"/>
      <c r="R59" s="87"/>
    </row>
    <row r="60" spans="1:21" x14ac:dyDescent="0.25">
      <c r="A60" s="56">
        <v>26</v>
      </c>
      <c r="B60" s="57" t="s">
        <v>210</v>
      </c>
      <c r="C60" s="58">
        <v>260</v>
      </c>
      <c r="D60" s="65">
        <f>SUM(D61:D69,D71)</f>
        <v>0</v>
      </c>
      <c r="E60" s="65">
        <f>SUM(E61:E69,E71)</f>
        <v>0</v>
      </c>
      <c r="F60" s="66">
        <f t="shared" si="1"/>
        <v>-3757.0000000000005</v>
      </c>
      <c r="G60" s="60">
        <f>SUM(G61:G71)</f>
        <v>-922.69999999999993</v>
      </c>
      <c r="H60" s="60">
        <f>SUM(H61:H71)</f>
        <v>-898.2</v>
      </c>
      <c r="I60" s="60">
        <f>SUM(I61:I71)</f>
        <v>-966.2</v>
      </c>
      <c r="J60" s="60">
        <f>SUM(J61:J71)</f>
        <v>-969.9</v>
      </c>
      <c r="K60" s="62"/>
      <c r="L60" s="87"/>
      <c r="M60" s="159"/>
      <c r="N60" s="87"/>
      <c r="O60" s="87"/>
      <c r="P60" s="87"/>
      <c r="Q60" s="87"/>
      <c r="R60" s="87"/>
    </row>
    <row r="61" spans="1:21" ht="56.25" x14ac:dyDescent="0.25">
      <c r="A61" s="56">
        <v>27</v>
      </c>
      <c r="B61" s="63" t="s">
        <v>211</v>
      </c>
      <c r="C61" s="64">
        <v>261</v>
      </c>
      <c r="D61" s="59"/>
      <c r="E61" s="59"/>
      <c r="F61" s="60">
        <f t="shared" si="1"/>
        <v>-54</v>
      </c>
      <c r="G61" s="61">
        <v>-13.5</v>
      </c>
      <c r="H61" s="61">
        <v>-13.5</v>
      </c>
      <c r="I61" s="61">
        <v>-13.5</v>
      </c>
      <c r="J61" s="61">
        <v>-13.5</v>
      </c>
      <c r="K61" s="62"/>
      <c r="L61" s="87"/>
      <c r="M61" s="159"/>
      <c r="N61" s="87"/>
      <c r="O61" s="87"/>
      <c r="P61" s="87"/>
      <c r="Q61" s="87"/>
      <c r="R61" s="87"/>
    </row>
    <row r="62" spans="1:21" ht="42" customHeight="1" x14ac:dyDescent="0.25">
      <c r="A62" s="56">
        <v>28</v>
      </c>
      <c r="B62" s="63" t="s">
        <v>199</v>
      </c>
      <c r="C62" s="64">
        <v>262</v>
      </c>
      <c r="D62" s="59"/>
      <c r="E62" s="59"/>
      <c r="F62" s="60">
        <f t="shared" si="1"/>
        <v>-120</v>
      </c>
      <c r="G62" s="61">
        <v>-35</v>
      </c>
      <c r="H62" s="61">
        <v>-25</v>
      </c>
      <c r="I62" s="61">
        <v>-35</v>
      </c>
      <c r="J62" s="61">
        <v>-25</v>
      </c>
      <c r="K62" s="62" t="s">
        <v>212</v>
      </c>
      <c r="L62" s="87"/>
      <c r="M62" s="159"/>
      <c r="N62" s="87"/>
      <c r="O62" s="87"/>
      <c r="P62" s="87"/>
      <c r="Q62" s="87"/>
      <c r="R62" s="87"/>
    </row>
    <row r="63" spans="1:21" s="69" customFormat="1" ht="22.5" customHeight="1" x14ac:dyDescent="0.25">
      <c r="A63" s="56">
        <v>29</v>
      </c>
      <c r="B63" s="63" t="s">
        <v>213</v>
      </c>
      <c r="C63" s="64">
        <v>263</v>
      </c>
      <c r="D63" s="59"/>
      <c r="E63" s="59"/>
      <c r="F63" s="60">
        <f t="shared" si="1"/>
        <v>-45</v>
      </c>
      <c r="G63" s="61">
        <v>-13.5</v>
      </c>
      <c r="H63" s="61">
        <v>-10</v>
      </c>
      <c r="I63" s="61">
        <v>-8</v>
      </c>
      <c r="J63" s="61">
        <v>-13.5</v>
      </c>
      <c r="K63" s="62" t="s">
        <v>214</v>
      </c>
      <c r="L63" s="87"/>
      <c r="M63" s="159"/>
      <c r="N63" s="87"/>
      <c r="O63" s="87"/>
      <c r="P63" s="87"/>
      <c r="Q63" s="87"/>
      <c r="R63" s="87"/>
      <c r="T63" s="72"/>
    </row>
    <row r="64" spans="1:21" s="69" customFormat="1" x14ac:dyDescent="0.25">
      <c r="A64" s="56">
        <v>30</v>
      </c>
      <c r="B64" s="63" t="s">
        <v>215</v>
      </c>
      <c r="C64" s="64">
        <v>264</v>
      </c>
      <c r="D64" s="59"/>
      <c r="E64" s="59"/>
      <c r="F64" s="60">
        <f t="shared" si="1"/>
        <v>-2700</v>
      </c>
      <c r="G64" s="61">
        <v>-630.79999999999995</v>
      </c>
      <c r="H64" s="61">
        <v>-669.2</v>
      </c>
      <c r="I64" s="61">
        <v>-725</v>
      </c>
      <c r="J64" s="61">
        <v>-675</v>
      </c>
      <c r="K64" s="62"/>
      <c r="L64" s="87"/>
      <c r="M64" s="159"/>
      <c r="N64" s="87"/>
      <c r="O64" s="87"/>
      <c r="P64" s="87"/>
      <c r="Q64" s="87"/>
      <c r="R64" s="87"/>
    </row>
    <row r="65" spans="1:21" s="69" customFormat="1" x14ac:dyDescent="0.25">
      <c r="A65" s="56">
        <v>31</v>
      </c>
      <c r="B65" s="63" t="s">
        <v>216</v>
      </c>
      <c r="C65" s="64">
        <v>265</v>
      </c>
      <c r="D65" s="59"/>
      <c r="E65" s="59"/>
      <c r="F65" s="60">
        <f t="shared" si="1"/>
        <v>-594</v>
      </c>
      <c r="G65" s="61">
        <v>-138.80000000000001</v>
      </c>
      <c r="H65" s="61">
        <v>-147.19999999999999</v>
      </c>
      <c r="I65" s="61">
        <v>-159.5</v>
      </c>
      <c r="J65" s="61">
        <v>-148.5</v>
      </c>
      <c r="K65" s="62"/>
      <c r="L65" s="87"/>
      <c r="M65" s="159"/>
      <c r="N65" s="87"/>
      <c r="O65" s="87"/>
      <c r="P65" s="87"/>
      <c r="Q65" s="87"/>
      <c r="R65" s="87"/>
    </row>
    <row r="66" spans="1:21" s="69" customFormat="1" ht="21" customHeight="1" x14ac:dyDescent="0.25">
      <c r="A66" s="56">
        <v>32</v>
      </c>
      <c r="B66" s="63" t="s">
        <v>195</v>
      </c>
      <c r="C66" s="64">
        <v>266</v>
      </c>
      <c r="D66" s="59"/>
      <c r="E66" s="59"/>
      <c r="F66" s="60">
        <f t="shared" si="1"/>
        <v>-148.80000000000001</v>
      </c>
      <c r="G66" s="61">
        <v>-67.5</v>
      </c>
      <c r="H66" s="61">
        <v>-6.3</v>
      </c>
      <c r="I66" s="61">
        <v>-3.7</v>
      </c>
      <c r="J66" s="61">
        <v>-71.3</v>
      </c>
      <c r="K66" s="62" t="s">
        <v>217</v>
      </c>
      <c r="L66" s="87"/>
      <c r="M66" s="159"/>
      <c r="N66" s="87"/>
      <c r="O66" s="87"/>
      <c r="P66" s="87"/>
      <c r="Q66" s="87"/>
      <c r="R66" s="87"/>
    </row>
    <row r="67" spans="1:21" s="69" customFormat="1" x14ac:dyDescent="0.25">
      <c r="A67" s="56">
        <v>33</v>
      </c>
      <c r="B67" s="63" t="s">
        <v>196</v>
      </c>
      <c r="C67" s="64">
        <v>267</v>
      </c>
      <c r="D67" s="59"/>
      <c r="E67" s="59"/>
      <c r="F67" s="60">
        <f t="shared" si="1"/>
        <v>-3.8</v>
      </c>
      <c r="G67" s="61">
        <v>-1</v>
      </c>
      <c r="H67" s="61">
        <v>-0.9</v>
      </c>
      <c r="I67" s="61">
        <v>-0.9</v>
      </c>
      <c r="J67" s="61">
        <v>-1</v>
      </c>
      <c r="K67" s="62"/>
      <c r="L67" s="87"/>
      <c r="M67" s="159"/>
      <c r="N67" s="87"/>
      <c r="O67" s="87"/>
      <c r="P67" s="87"/>
      <c r="Q67" s="87"/>
      <c r="R67" s="87"/>
    </row>
    <row r="68" spans="1:21" s="69" customFormat="1" x14ac:dyDescent="0.25">
      <c r="A68" s="56">
        <v>34</v>
      </c>
      <c r="B68" s="57" t="s">
        <v>193</v>
      </c>
      <c r="C68" s="64">
        <v>268</v>
      </c>
      <c r="D68" s="59"/>
      <c r="E68" s="59"/>
      <c r="F68" s="60">
        <f t="shared" si="1"/>
        <v>-68.400000000000006</v>
      </c>
      <c r="G68" s="61">
        <v>-17.100000000000001</v>
      </c>
      <c r="H68" s="61">
        <v>-17.100000000000001</v>
      </c>
      <c r="I68" s="61">
        <v>-17.100000000000001</v>
      </c>
      <c r="J68" s="61">
        <v>-17.100000000000001</v>
      </c>
      <c r="K68" s="62"/>
      <c r="L68" s="87"/>
      <c r="M68" s="159"/>
      <c r="N68" s="87"/>
      <c r="O68" s="87"/>
      <c r="P68" s="87"/>
      <c r="Q68" s="87"/>
      <c r="R68" s="87"/>
    </row>
    <row r="69" spans="1:21" s="69" customFormat="1" ht="21" customHeight="1" x14ac:dyDescent="0.25">
      <c r="A69" s="56">
        <v>35</v>
      </c>
      <c r="B69" s="57" t="s">
        <v>203</v>
      </c>
      <c r="C69" s="64">
        <v>269</v>
      </c>
      <c r="D69" s="59"/>
      <c r="E69" s="59"/>
      <c r="F69" s="60">
        <f t="shared" si="1"/>
        <v>-15</v>
      </c>
      <c r="G69" s="61">
        <v>-3.5</v>
      </c>
      <c r="H69" s="61">
        <v>-7</v>
      </c>
      <c r="I69" s="61">
        <v>-1.5</v>
      </c>
      <c r="J69" s="61">
        <v>-3</v>
      </c>
      <c r="K69" s="62" t="s">
        <v>218</v>
      </c>
      <c r="L69" s="87"/>
      <c r="M69" s="159"/>
      <c r="N69" s="87"/>
      <c r="O69" s="87"/>
      <c r="P69" s="87"/>
      <c r="Q69" s="87"/>
      <c r="R69" s="87"/>
    </row>
    <row r="70" spans="1:21" s="69" customFormat="1" x14ac:dyDescent="0.25">
      <c r="A70" s="56">
        <v>36</v>
      </c>
      <c r="B70" s="57" t="s">
        <v>219</v>
      </c>
      <c r="C70" s="58">
        <v>270</v>
      </c>
      <c r="D70" s="59"/>
      <c r="E70" s="59"/>
      <c r="F70" s="60">
        <f>SUM(G70:J70)</f>
        <v>0</v>
      </c>
      <c r="G70" s="61">
        <v>0</v>
      </c>
      <c r="H70" s="61">
        <v>0</v>
      </c>
      <c r="I70" s="61">
        <v>0</v>
      </c>
      <c r="J70" s="61">
        <v>0</v>
      </c>
      <c r="K70" s="62"/>
      <c r="L70" s="87"/>
      <c r="M70" s="159"/>
      <c r="N70" s="87"/>
      <c r="O70" s="87"/>
      <c r="P70" s="87"/>
      <c r="Q70" s="87"/>
      <c r="R70" s="87"/>
    </row>
    <row r="71" spans="1:21" s="69" customFormat="1" ht="37.5" x14ac:dyDescent="0.25">
      <c r="A71" s="56">
        <v>37</v>
      </c>
      <c r="B71" s="57" t="s">
        <v>287</v>
      </c>
      <c r="C71" s="58">
        <v>280</v>
      </c>
      <c r="D71" s="59"/>
      <c r="E71" s="59"/>
      <c r="F71" s="60">
        <f t="shared" si="1"/>
        <v>-8</v>
      </c>
      <c r="G71" s="61">
        <v>-2</v>
      </c>
      <c r="H71" s="61">
        <v>-2</v>
      </c>
      <c r="I71" s="61">
        <v>-2</v>
      </c>
      <c r="J71" s="61">
        <v>-2</v>
      </c>
      <c r="K71" s="62"/>
      <c r="L71" s="87"/>
      <c r="M71" s="159"/>
      <c r="N71" s="87"/>
      <c r="O71" s="87"/>
      <c r="P71" s="87"/>
      <c r="Q71" s="87"/>
      <c r="R71" s="87"/>
      <c r="S71" s="69">
        <v>2800</v>
      </c>
      <c r="T71" s="99" t="e">
        <f>#REF!</f>
        <v>#REF!</v>
      </c>
      <c r="U71" s="99" t="e">
        <f>#REF!</f>
        <v>#REF!</v>
      </c>
    </row>
    <row r="72" spans="1:21" s="69" customFormat="1" x14ac:dyDescent="0.25">
      <c r="A72" s="56">
        <v>38</v>
      </c>
      <c r="B72" s="57" t="s">
        <v>220</v>
      </c>
      <c r="C72" s="58">
        <v>290</v>
      </c>
      <c r="D72" s="67"/>
      <c r="E72" s="67"/>
      <c r="F72" s="60">
        <f t="shared" si="1"/>
        <v>0</v>
      </c>
      <c r="G72" s="68">
        <f>SUM(G73:G74)</f>
        <v>0</v>
      </c>
      <c r="H72" s="68">
        <f>SUM(H73:H74)</f>
        <v>0</v>
      </c>
      <c r="I72" s="68">
        <f>SUM(I73:I74)</f>
        <v>0</v>
      </c>
      <c r="J72" s="68">
        <f>SUM(J73:J74)</f>
        <v>0</v>
      </c>
      <c r="K72" s="62"/>
      <c r="L72" s="87"/>
      <c r="M72" s="159"/>
      <c r="N72" s="87"/>
      <c r="O72" s="87"/>
      <c r="P72" s="87"/>
      <c r="Q72" s="87"/>
      <c r="R72" s="87"/>
    </row>
    <row r="73" spans="1:21" s="69" customFormat="1" x14ac:dyDescent="0.25">
      <c r="A73" s="56">
        <v>39</v>
      </c>
      <c r="B73" s="63" t="s">
        <v>221</v>
      </c>
      <c r="C73" s="73">
        <v>291</v>
      </c>
      <c r="D73" s="59"/>
      <c r="E73" s="59"/>
      <c r="F73" s="60">
        <f t="shared" si="1"/>
        <v>0</v>
      </c>
      <c r="G73" s="61">
        <v>0</v>
      </c>
      <c r="H73" s="61">
        <v>0</v>
      </c>
      <c r="I73" s="61">
        <v>0</v>
      </c>
      <c r="J73" s="61">
        <v>0</v>
      </c>
      <c r="K73" s="62"/>
      <c r="L73" s="87"/>
      <c r="M73" s="159"/>
      <c r="N73" s="87"/>
      <c r="O73" s="87"/>
      <c r="P73" s="87"/>
      <c r="Q73" s="87"/>
      <c r="R73" s="87"/>
    </row>
    <row r="74" spans="1:21" s="69" customFormat="1" ht="18" customHeight="1" x14ac:dyDescent="0.25">
      <c r="A74" s="56">
        <v>40</v>
      </c>
      <c r="B74" s="63" t="s">
        <v>222</v>
      </c>
      <c r="C74" s="73">
        <v>292</v>
      </c>
      <c r="D74" s="59"/>
      <c r="E74" s="59"/>
      <c r="F74" s="60">
        <f t="shared" si="1"/>
        <v>0</v>
      </c>
      <c r="G74" s="61">
        <v>0</v>
      </c>
      <c r="H74" s="61">
        <v>0</v>
      </c>
      <c r="I74" s="61">
        <v>0</v>
      </c>
      <c r="J74" s="61">
        <v>0</v>
      </c>
      <c r="K74" s="62" t="s">
        <v>223</v>
      </c>
      <c r="L74" s="87"/>
      <c r="M74" s="159"/>
      <c r="N74" s="87"/>
      <c r="O74" s="87"/>
      <c r="P74" s="87"/>
      <c r="Q74" s="87"/>
      <c r="R74" s="87"/>
    </row>
    <row r="75" spans="1:21" s="69" customFormat="1" ht="37.5" x14ac:dyDescent="0.25">
      <c r="A75" s="56">
        <v>41</v>
      </c>
      <c r="B75" s="57" t="s">
        <v>224</v>
      </c>
      <c r="C75" s="40">
        <v>300</v>
      </c>
      <c r="D75" s="59"/>
      <c r="E75" s="59"/>
      <c r="F75" s="60">
        <f t="shared" si="1"/>
        <v>-30</v>
      </c>
      <c r="G75" s="59">
        <v>-15</v>
      </c>
      <c r="H75" s="59">
        <v>0</v>
      </c>
      <c r="I75" s="59">
        <v>0</v>
      </c>
      <c r="J75" s="59">
        <v>-15</v>
      </c>
      <c r="K75" s="62"/>
      <c r="L75" s="87"/>
      <c r="M75" s="159"/>
      <c r="N75" s="87"/>
      <c r="O75" s="87"/>
      <c r="P75" s="87"/>
      <c r="Q75" s="87"/>
      <c r="R75" s="87"/>
    </row>
    <row r="76" spans="1:21" s="69" customFormat="1" x14ac:dyDescent="0.25">
      <c r="A76" s="56">
        <v>42</v>
      </c>
      <c r="B76" s="251" t="s">
        <v>225</v>
      </c>
      <c r="C76" s="248"/>
      <c r="D76" s="248"/>
      <c r="E76" s="248"/>
      <c r="F76" s="248"/>
      <c r="G76" s="248"/>
      <c r="H76" s="248"/>
      <c r="I76" s="248"/>
      <c r="J76" s="249"/>
      <c r="K76" s="62"/>
      <c r="L76" s="87"/>
      <c r="M76" s="159"/>
      <c r="N76" s="87"/>
      <c r="O76" s="87"/>
      <c r="P76" s="87"/>
      <c r="Q76" s="87"/>
      <c r="R76" s="87"/>
    </row>
    <row r="77" spans="1:21" s="69" customFormat="1" x14ac:dyDescent="0.25">
      <c r="A77" s="56">
        <v>43</v>
      </c>
      <c r="B77" s="57" t="s">
        <v>226</v>
      </c>
      <c r="C77" s="40">
        <v>310</v>
      </c>
      <c r="D77" s="59"/>
      <c r="E77" s="59"/>
      <c r="F77" s="60">
        <f t="shared" ref="F77:F82" si="2">SUM(G77:J77)</f>
        <v>-3327.0000000000005</v>
      </c>
      <c r="G77" s="61">
        <f>G42+G45+G46+G51+G54+G55+G56+G57</f>
        <v>-1009.6</v>
      </c>
      <c r="H77" s="61">
        <f>H42+H45+H46+H51+H54+H55+H56+H57</f>
        <v>-688.2</v>
      </c>
      <c r="I77" s="61">
        <f>I42+I45+I46+I51+I54+I55+I56+I57</f>
        <v>-608.29999999999995</v>
      </c>
      <c r="J77" s="61">
        <f>J42+J45+J46+J51+J54+J55+J56+J57</f>
        <v>-1020.9</v>
      </c>
      <c r="K77" s="62"/>
      <c r="L77" s="87"/>
      <c r="M77" s="159"/>
      <c r="N77" s="87"/>
      <c r="O77" s="87"/>
      <c r="P77" s="87"/>
      <c r="Q77" s="87"/>
      <c r="R77" s="87"/>
    </row>
    <row r="78" spans="1:21" s="69" customFormat="1" x14ac:dyDescent="0.25">
      <c r="A78" s="56">
        <v>44</v>
      </c>
      <c r="B78" s="57" t="s">
        <v>200</v>
      </c>
      <c r="C78" s="40">
        <v>320</v>
      </c>
      <c r="D78" s="59"/>
      <c r="E78" s="59"/>
      <c r="F78" s="60">
        <f t="shared" si="2"/>
        <v>-19905</v>
      </c>
      <c r="G78" s="61">
        <f t="shared" ref="G78:J79" si="3">G52+G64</f>
        <v>-4660.8</v>
      </c>
      <c r="H78" s="61">
        <f t="shared" si="3"/>
        <v>-4941.2</v>
      </c>
      <c r="I78" s="61">
        <f t="shared" si="3"/>
        <v>-5338</v>
      </c>
      <c r="J78" s="61">
        <f t="shared" si="3"/>
        <v>-4965</v>
      </c>
      <c r="K78" s="62"/>
      <c r="L78" s="87"/>
      <c r="M78" s="159"/>
      <c r="N78" s="87"/>
      <c r="O78" s="87"/>
      <c r="P78" s="87"/>
      <c r="Q78" s="87"/>
      <c r="R78" s="87"/>
    </row>
    <row r="79" spans="1:21" s="69" customFormat="1" x14ac:dyDescent="0.25">
      <c r="A79" s="56">
        <v>45</v>
      </c>
      <c r="B79" s="57" t="s">
        <v>201</v>
      </c>
      <c r="C79" s="40">
        <v>330</v>
      </c>
      <c r="D79" s="59"/>
      <c r="E79" s="59"/>
      <c r="F79" s="60">
        <f t="shared" si="2"/>
        <v>-4379</v>
      </c>
      <c r="G79" s="61">
        <f t="shared" si="3"/>
        <v>-1025.8</v>
      </c>
      <c r="H79" s="61">
        <f t="shared" si="3"/>
        <v>-1087.2</v>
      </c>
      <c r="I79" s="61">
        <f t="shared" si="3"/>
        <v>-1174.5</v>
      </c>
      <c r="J79" s="61">
        <f t="shared" si="3"/>
        <v>-1091.5</v>
      </c>
      <c r="K79" s="62"/>
      <c r="L79" s="87"/>
      <c r="M79" s="159"/>
      <c r="N79" s="87"/>
      <c r="O79" s="87"/>
      <c r="P79" s="87"/>
      <c r="Q79" s="87"/>
      <c r="R79" s="87"/>
    </row>
    <row r="80" spans="1:21" s="69" customFormat="1" x14ac:dyDescent="0.25">
      <c r="A80" s="56">
        <v>46</v>
      </c>
      <c r="B80" s="57" t="s">
        <v>207</v>
      </c>
      <c r="C80" s="40">
        <v>340</v>
      </c>
      <c r="D80" s="59"/>
      <c r="E80" s="59"/>
      <c r="F80" s="60">
        <f t="shared" si="2"/>
        <v>0</v>
      </c>
      <c r="G80" s="61">
        <f>G58+G70</f>
        <v>0</v>
      </c>
      <c r="H80" s="61">
        <f>H58+H70</f>
        <v>0</v>
      </c>
      <c r="I80" s="61">
        <f>I58+I70</f>
        <v>0</v>
      </c>
      <c r="J80" s="61">
        <f>J58+J70</f>
        <v>0</v>
      </c>
      <c r="K80" s="62"/>
      <c r="L80" s="87"/>
      <c r="M80" s="159"/>
      <c r="N80" s="87"/>
      <c r="O80" s="87"/>
      <c r="P80" s="87"/>
      <c r="Q80" s="87"/>
      <c r="R80" s="87"/>
    </row>
    <row r="81" spans="1:18" s="69" customFormat="1" x14ac:dyDescent="0.25">
      <c r="A81" s="56">
        <v>47</v>
      </c>
      <c r="B81" s="57" t="s">
        <v>227</v>
      </c>
      <c r="C81" s="40">
        <v>350</v>
      </c>
      <c r="D81" s="59"/>
      <c r="E81" s="59"/>
      <c r="F81" s="60">
        <f t="shared" si="2"/>
        <v>-493</v>
      </c>
      <c r="G81" s="61">
        <f>G59+G62+G63+G66+G68+G69+G71+G67+G61+G75</f>
        <v>-168.1</v>
      </c>
      <c r="H81" s="61">
        <f>H59+H62+H63+H66+H68+H69+H71+H67+H61+H75</f>
        <v>-81.800000000000011</v>
      </c>
      <c r="I81" s="61">
        <f>I59+I62+I63+I66+I68+I69+I71+I67+I61+I75</f>
        <v>-81.700000000000017</v>
      </c>
      <c r="J81" s="61">
        <f>J62+J63+J66+J68+J69+J71+J67+J61+J75</f>
        <v>-161.4</v>
      </c>
      <c r="K81" s="62"/>
      <c r="L81" s="87"/>
      <c r="M81" s="159"/>
      <c r="N81" s="87"/>
      <c r="O81" s="87"/>
      <c r="P81" s="87"/>
      <c r="Q81" s="87"/>
      <c r="R81" s="87"/>
    </row>
    <row r="82" spans="1:18" s="69" customFormat="1" x14ac:dyDescent="0.25">
      <c r="A82" s="56">
        <v>48</v>
      </c>
      <c r="B82" s="57" t="s">
        <v>228</v>
      </c>
      <c r="C82" s="40">
        <v>360</v>
      </c>
      <c r="D82" s="59"/>
      <c r="E82" s="59"/>
      <c r="F82" s="66">
        <f t="shared" si="2"/>
        <v>-28104</v>
      </c>
      <c r="G82" s="61">
        <f>SUM(G77:G81)</f>
        <v>-6864.3000000000011</v>
      </c>
      <c r="H82" s="61">
        <f>SUM(H77:H81)</f>
        <v>-6798.4</v>
      </c>
      <c r="I82" s="61">
        <f>SUM(I77:I81)</f>
        <v>-7202.5</v>
      </c>
      <c r="J82" s="61">
        <f>SUM(J77:J81)</f>
        <v>-7238.7999999999993</v>
      </c>
      <c r="K82" s="62"/>
      <c r="L82" s="87"/>
      <c r="M82" s="159"/>
      <c r="N82" s="87"/>
      <c r="O82" s="87"/>
      <c r="P82" s="87"/>
      <c r="Q82" s="87"/>
      <c r="R82" s="87"/>
    </row>
    <row r="83" spans="1:18" s="69" customFormat="1" x14ac:dyDescent="0.25">
      <c r="A83" s="56">
        <v>49</v>
      </c>
      <c r="B83" s="74" t="s">
        <v>229</v>
      </c>
      <c r="C83" s="75"/>
      <c r="D83" s="75"/>
      <c r="E83" s="75"/>
      <c r="F83" s="75"/>
      <c r="G83" s="75"/>
      <c r="H83" s="75"/>
      <c r="I83" s="75"/>
      <c r="J83" s="76"/>
      <c r="K83" s="62"/>
      <c r="L83" s="87"/>
      <c r="M83" s="159"/>
      <c r="N83" s="87"/>
      <c r="O83" s="87"/>
      <c r="P83" s="87"/>
      <c r="Q83" s="87"/>
      <c r="R83" s="87"/>
    </row>
    <row r="84" spans="1:18" s="69" customFormat="1" x14ac:dyDescent="0.25">
      <c r="A84" s="56">
        <v>50</v>
      </c>
      <c r="B84" s="57" t="s">
        <v>230</v>
      </c>
      <c r="C84" s="40">
        <v>370</v>
      </c>
      <c r="D84" s="67"/>
      <c r="E84" s="67"/>
      <c r="F84" s="66">
        <f>SUM(G84:J84)</f>
        <v>0</v>
      </c>
      <c r="G84" s="67"/>
      <c r="H84" s="67"/>
      <c r="I84" s="68">
        <f>SUM(I85)</f>
        <v>0</v>
      </c>
      <c r="J84" s="68">
        <f>SUM(J85)</f>
        <v>0</v>
      </c>
      <c r="K84" s="62"/>
      <c r="L84" s="87"/>
      <c r="M84" s="159"/>
      <c r="N84" s="87"/>
      <c r="O84" s="87"/>
      <c r="P84" s="87"/>
      <c r="Q84" s="87"/>
      <c r="R84" s="87"/>
    </row>
    <row r="85" spans="1:18" s="69" customFormat="1" ht="37.5" x14ac:dyDescent="0.25">
      <c r="A85" s="56">
        <v>51</v>
      </c>
      <c r="B85" s="57" t="s">
        <v>231</v>
      </c>
      <c r="C85" s="73">
        <v>371</v>
      </c>
      <c r="D85" s="59"/>
      <c r="E85" s="59"/>
      <c r="F85" s="60">
        <f>SUM(G85:J85)</f>
        <v>0</v>
      </c>
      <c r="G85" s="59"/>
      <c r="H85" s="59"/>
      <c r="I85" s="61"/>
      <c r="J85" s="61"/>
      <c r="K85" s="62"/>
      <c r="L85" s="87"/>
      <c r="M85" s="159"/>
      <c r="N85" s="87"/>
      <c r="O85" s="87"/>
      <c r="P85" s="87"/>
      <c r="Q85" s="87"/>
      <c r="R85" s="87"/>
    </row>
    <row r="86" spans="1:18" s="69" customFormat="1" x14ac:dyDescent="0.25">
      <c r="A86" s="56">
        <v>52</v>
      </c>
      <c r="B86" s="55" t="s">
        <v>232</v>
      </c>
      <c r="C86" s="77">
        <v>380</v>
      </c>
      <c r="D86" s="78">
        <f>SUM(D87:D92)</f>
        <v>0</v>
      </c>
      <c r="E86" s="78">
        <f>SUM(E87:E92)</f>
        <v>0</v>
      </c>
      <c r="F86" s="66">
        <f t="shared" ref="F86:F92" si="4">SUM(G86:J86)</f>
        <v>-3096</v>
      </c>
      <c r="G86" s="66">
        <f>SUM(G87:G92)</f>
        <v>-450</v>
      </c>
      <c r="H86" s="66">
        <f>SUM(H87:H92)</f>
        <v>-1350</v>
      </c>
      <c r="I86" s="66">
        <f>SUM(I87:I92)</f>
        <v>-946</v>
      </c>
      <c r="J86" s="66">
        <f>SUM(J87:J92)</f>
        <v>-350</v>
      </c>
      <c r="K86" s="62"/>
      <c r="L86" s="87"/>
      <c r="M86" s="159"/>
      <c r="N86" s="87"/>
      <c r="O86" s="87"/>
      <c r="P86" s="87"/>
      <c r="Q86" s="87"/>
      <c r="R86" s="87"/>
    </row>
    <row r="87" spans="1:18" s="69" customFormat="1" x14ac:dyDescent="0.25">
      <c r="A87" s="56">
        <v>53</v>
      </c>
      <c r="B87" s="57" t="s">
        <v>233</v>
      </c>
      <c r="C87" s="79">
        <v>381</v>
      </c>
      <c r="D87" s="59"/>
      <c r="E87" s="59"/>
      <c r="F87" s="61">
        <f t="shared" si="4"/>
        <v>0</v>
      </c>
      <c r="G87" s="61"/>
      <c r="H87" s="61"/>
      <c r="I87" s="61"/>
      <c r="J87" s="61"/>
      <c r="K87" s="62"/>
      <c r="L87" s="87"/>
      <c r="M87" s="159"/>
      <c r="N87" s="87"/>
      <c r="O87" s="87"/>
      <c r="P87" s="87"/>
      <c r="Q87" s="87"/>
      <c r="R87" s="87"/>
    </row>
    <row r="88" spans="1:18" s="69" customFormat="1" x14ac:dyDescent="0.25">
      <c r="A88" s="56">
        <v>54</v>
      </c>
      <c r="B88" s="57" t="s">
        <v>234</v>
      </c>
      <c r="C88" s="80">
        <v>382</v>
      </c>
      <c r="D88" s="59"/>
      <c r="E88" s="59"/>
      <c r="F88" s="61">
        <f t="shared" si="4"/>
        <v>-1950</v>
      </c>
      <c r="G88" s="61">
        <v>-450</v>
      </c>
      <c r="H88" s="61">
        <v>-750</v>
      </c>
      <c r="I88" s="61">
        <v>-400</v>
      </c>
      <c r="J88" s="61">
        <v>-350</v>
      </c>
      <c r="K88" s="62"/>
      <c r="L88" s="87"/>
      <c r="M88" s="159"/>
      <c r="N88" s="87"/>
      <c r="O88" s="87"/>
      <c r="P88" s="87"/>
      <c r="Q88" s="87"/>
      <c r="R88" s="87"/>
    </row>
    <row r="89" spans="1:18" s="69" customFormat="1" ht="75" x14ac:dyDescent="0.25">
      <c r="A89" s="56">
        <v>55</v>
      </c>
      <c r="B89" s="57" t="s">
        <v>235</v>
      </c>
      <c r="C89" s="79">
        <v>383</v>
      </c>
      <c r="D89" s="59"/>
      <c r="E89" s="59"/>
      <c r="F89" s="61">
        <f t="shared" si="4"/>
        <v>0</v>
      </c>
      <c r="G89" s="61"/>
      <c r="H89" s="61"/>
      <c r="I89" s="61"/>
      <c r="J89" s="61"/>
      <c r="K89" s="62"/>
      <c r="L89" s="87" t="s">
        <v>405</v>
      </c>
      <c r="M89" s="159"/>
      <c r="N89" s="87"/>
      <c r="O89" s="87"/>
      <c r="P89" s="87"/>
      <c r="Q89" s="87"/>
      <c r="R89" s="87"/>
    </row>
    <row r="90" spans="1:18" s="69" customFormat="1" x14ac:dyDescent="0.25">
      <c r="A90" s="56">
        <v>56</v>
      </c>
      <c r="B90" s="57" t="s">
        <v>236</v>
      </c>
      <c r="C90" s="80">
        <v>384</v>
      </c>
      <c r="D90" s="59"/>
      <c r="E90" s="59"/>
      <c r="F90" s="61">
        <f t="shared" si="4"/>
        <v>0</v>
      </c>
      <c r="G90" s="61"/>
      <c r="H90" s="61"/>
      <c r="I90" s="61"/>
      <c r="J90" s="61"/>
      <c r="K90" s="62"/>
      <c r="L90" s="87"/>
      <c r="M90" s="159"/>
      <c r="N90" s="87"/>
      <c r="O90" s="87"/>
      <c r="P90" s="87"/>
      <c r="Q90" s="87"/>
      <c r="R90" s="87"/>
    </row>
    <row r="91" spans="1:18" s="69" customFormat="1" ht="37.5" x14ac:dyDescent="0.25">
      <c r="A91" s="56">
        <v>57</v>
      </c>
      <c r="B91" s="57" t="s">
        <v>237</v>
      </c>
      <c r="C91" s="80">
        <v>385</v>
      </c>
      <c r="D91" s="59"/>
      <c r="E91" s="59"/>
      <c r="F91" s="61">
        <f t="shared" si="4"/>
        <v>0</v>
      </c>
      <c r="G91" s="61"/>
      <c r="H91" s="61"/>
      <c r="I91" s="61"/>
      <c r="J91" s="61"/>
      <c r="K91" s="62"/>
      <c r="L91" s="87"/>
      <c r="M91" s="159"/>
      <c r="N91" s="87"/>
      <c r="O91" s="87"/>
      <c r="P91" s="87"/>
      <c r="Q91" s="87"/>
      <c r="R91" s="87"/>
    </row>
    <row r="92" spans="1:18" s="69" customFormat="1" x14ac:dyDescent="0.25">
      <c r="A92" s="56">
        <v>58</v>
      </c>
      <c r="B92" s="57" t="s">
        <v>238</v>
      </c>
      <c r="C92" s="79">
        <v>386</v>
      </c>
      <c r="D92" s="59"/>
      <c r="E92" s="59"/>
      <c r="F92" s="61">
        <f t="shared" si="4"/>
        <v>-1146</v>
      </c>
      <c r="G92" s="61"/>
      <c r="H92" s="61">
        <v>-600</v>
      </c>
      <c r="I92" s="61">
        <v>-546</v>
      </c>
      <c r="J92" s="61"/>
      <c r="K92" s="62"/>
      <c r="L92" s="87"/>
      <c r="M92" s="159"/>
      <c r="N92" s="87"/>
      <c r="O92" s="87"/>
      <c r="P92" s="87"/>
      <c r="Q92" s="87"/>
      <c r="R92" s="87"/>
    </row>
    <row r="93" spans="1:18" s="69" customFormat="1" x14ac:dyDescent="0.25">
      <c r="A93" s="56">
        <v>59</v>
      </c>
      <c r="B93" s="251" t="s">
        <v>239</v>
      </c>
      <c r="C93" s="248"/>
      <c r="D93" s="248"/>
      <c r="E93" s="248"/>
      <c r="F93" s="248"/>
      <c r="G93" s="248"/>
      <c r="H93" s="248"/>
      <c r="I93" s="248"/>
      <c r="J93" s="249"/>
      <c r="K93" s="62"/>
      <c r="L93" s="87"/>
      <c r="M93" s="159"/>
      <c r="N93" s="87"/>
      <c r="O93" s="87"/>
      <c r="P93" s="87"/>
      <c r="Q93" s="87"/>
      <c r="R93" s="87"/>
    </row>
    <row r="94" spans="1:18" s="69" customFormat="1" x14ac:dyDescent="0.25">
      <c r="A94" s="56">
        <v>60</v>
      </c>
      <c r="B94" s="57" t="s">
        <v>240</v>
      </c>
      <c r="C94" s="81">
        <v>390</v>
      </c>
      <c r="D94" s="67">
        <f>SUM(D95:D98)</f>
        <v>0</v>
      </c>
      <c r="E94" s="67">
        <f>SUM(E95:E98)</f>
        <v>0</v>
      </c>
      <c r="F94" s="68">
        <f t="shared" ref="F94:F103" si="5">SUM(G94:J94)</f>
        <v>22.8</v>
      </c>
      <c r="G94" s="68">
        <f>SUM(G95:G98)</f>
        <v>6.6000000000000005</v>
      </c>
      <c r="H94" s="68">
        <f>SUM(H95:H98)</f>
        <v>5.4</v>
      </c>
      <c r="I94" s="68">
        <f>SUM(I95:I98)</f>
        <v>4.8000000000000007</v>
      </c>
      <c r="J94" s="68">
        <f>SUM(J95:J98)</f>
        <v>6</v>
      </c>
      <c r="K94" s="62"/>
      <c r="L94" s="87"/>
      <c r="M94" s="159"/>
      <c r="N94" s="87"/>
      <c r="O94" s="87"/>
      <c r="P94" s="87"/>
      <c r="Q94" s="87"/>
      <c r="R94" s="87"/>
    </row>
    <row r="95" spans="1:18" s="69" customFormat="1" x14ac:dyDescent="0.25">
      <c r="A95" s="56">
        <v>61</v>
      </c>
      <c r="B95" s="63" t="s">
        <v>241</v>
      </c>
      <c r="C95" s="82">
        <v>391</v>
      </c>
      <c r="D95" s="59"/>
      <c r="E95" s="59"/>
      <c r="F95" s="61">
        <f t="shared" si="5"/>
        <v>0</v>
      </c>
      <c r="G95" s="61"/>
      <c r="H95" s="61"/>
      <c r="I95" s="61"/>
      <c r="J95" s="61"/>
      <c r="K95" s="62"/>
      <c r="L95" s="87"/>
      <c r="M95" s="159"/>
      <c r="N95" s="87"/>
      <c r="O95" s="87"/>
      <c r="P95" s="87"/>
      <c r="Q95" s="87"/>
      <c r="R95" s="87"/>
    </row>
    <row r="96" spans="1:18" s="69" customFormat="1" x14ac:dyDescent="0.25">
      <c r="A96" s="56">
        <v>62</v>
      </c>
      <c r="B96" s="63" t="s">
        <v>242</v>
      </c>
      <c r="C96" s="82">
        <v>392</v>
      </c>
      <c r="D96" s="59"/>
      <c r="E96" s="59"/>
      <c r="F96" s="61">
        <f t="shared" si="5"/>
        <v>0</v>
      </c>
      <c r="G96" s="61"/>
      <c r="H96" s="61"/>
      <c r="I96" s="61"/>
      <c r="J96" s="61"/>
      <c r="K96" s="62"/>
      <c r="L96" s="87"/>
      <c r="M96" s="159"/>
      <c r="N96" s="87"/>
      <c r="O96" s="87"/>
      <c r="P96" s="87"/>
      <c r="Q96" s="87"/>
      <c r="R96" s="87"/>
    </row>
    <row r="97" spans="1:18" s="69" customFormat="1" x14ac:dyDescent="0.25">
      <c r="A97" s="56">
        <v>63</v>
      </c>
      <c r="B97" s="63" t="s">
        <v>243</v>
      </c>
      <c r="C97" s="82">
        <v>393</v>
      </c>
      <c r="D97" s="59"/>
      <c r="E97" s="59"/>
      <c r="F97" s="61">
        <f t="shared" si="5"/>
        <v>0</v>
      </c>
      <c r="G97" s="61"/>
      <c r="H97" s="61"/>
      <c r="I97" s="61"/>
      <c r="J97" s="61"/>
      <c r="K97" s="62"/>
      <c r="L97" s="87"/>
      <c r="M97" s="159"/>
      <c r="N97" s="87"/>
      <c r="O97" s="87"/>
      <c r="P97" s="87"/>
      <c r="Q97" s="87"/>
      <c r="R97" s="87"/>
    </row>
    <row r="98" spans="1:18" s="69" customFormat="1" x14ac:dyDescent="0.25">
      <c r="A98" s="56">
        <v>64</v>
      </c>
      <c r="B98" s="57" t="s">
        <v>413</v>
      </c>
      <c r="C98" s="81">
        <v>400</v>
      </c>
      <c r="D98" s="59"/>
      <c r="E98" s="59"/>
      <c r="F98" s="61">
        <f t="shared" si="5"/>
        <v>22.8</v>
      </c>
      <c r="G98" s="61">
        <f>(1400+800)/1000*3</f>
        <v>6.6000000000000005</v>
      </c>
      <c r="H98" s="61">
        <f>(2200/1000)+(1400+200)/1000*2</f>
        <v>5.4</v>
      </c>
      <c r="I98" s="61">
        <f>(1400+200)/1000*3</f>
        <v>4.8000000000000007</v>
      </c>
      <c r="J98" s="61">
        <f>(1600/1000)+(1400+800)/1000*2</f>
        <v>6</v>
      </c>
      <c r="K98" s="62"/>
      <c r="L98" s="87"/>
      <c r="M98" s="159"/>
      <c r="N98" s="87"/>
      <c r="O98" s="87"/>
      <c r="P98" s="87"/>
      <c r="Q98" s="87"/>
      <c r="R98" s="87"/>
    </row>
    <row r="99" spans="1:18" s="69" customFormat="1" ht="25.5" customHeight="1" x14ac:dyDescent="0.25">
      <c r="A99" s="56">
        <v>65</v>
      </c>
      <c r="B99" s="57" t="s">
        <v>244</v>
      </c>
      <c r="C99" s="81">
        <v>410</v>
      </c>
      <c r="D99" s="67">
        <f>SUM(D100:D103)</f>
        <v>0</v>
      </c>
      <c r="E99" s="67">
        <f>SUM(E100:E103)</f>
        <v>0</v>
      </c>
      <c r="F99" s="68">
        <f t="shared" si="5"/>
        <v>0</v>
      </c>
      <c r="G99" s="68">
        <f>SUM(G100:G103)</f>
        <v>0</v>
      </c>
      <c r="H99" s="68">
        <f>SUM(H100:H103)</f>
        <v>0</v>
      </c>
      <c r="I99" s="68">
        <f>SUM(I100:I103)</f>
        <v>0</v>
      </c>
      <c r="J99" s="68">
        <f>SUM(J100:J103)</f>
        <v>0</v>
      </c>
      <c r="K99" s="62"/>
      <c r="L99" s="87"/>
      <c r="M99" s="159"/>
      <c r="N99" s="87"/>
      <c r="O99" s="87"/>
      <c r="P99" s="87"/>
      <c r="Q99" s="87"/>
      <c r="R99" s="87"/>
    </row>
    <row r="100" spans="1:18" s="69" customFormat="1" x14ac:dyDescent="0.25">
      <c r="A100" s="56">
        <v>66</v>
      </c>
      <c r="B100" s="63" t="s">
        <v>241</v>
      </c>
      <c r="C100" s="82">
        <v>411</v>
      </c>
      <c r="D100" s="59"/>
      <c r="E100" s="59"/>
      <c r="F100" s="61">
        <f t="shared" si="5"/>
        <v>0</v>
      </c>
      <c r="G100" s="61"/>
      <c r="H100" s="61"/>
      <c r="I100" s="61"/>
      <c r="J100" s="61"/>
      <c r="K100" s="62"/>
      <c r="L100" s="87"/>
      <c r="M100" s="159"/>
      <c r="N100" s="87"/>
      <c r="O100" s="87"/>
      <c r="P100" s="87"/>
      <c r="Q100" s="87"/>
      <c r="R100" s="87"/>
    </row>
    <row r="101" spans="1:18" s="69" customFormat="1" x14ac:dyDescent="0.25">
      <c r="A101" s="56">
        <v>67</v>
      </c>
      <c r="B101" s="63" t="s">
        <v>242</v>
      </c>
      <c r="C101" s="82">
        <v>412</v>
      </c>
      <c r="D101" s="59"/>
      <c r="E101" s="59"/>
      <c r="F101" s="61">
        <f t="shared" si="5"/>
        <v>0</v>
      </c>
      <c r="G101" s="61"/>
      <c r="H101" s="61"/>
      <c r="I101" s="61"/>
      <c r="J101" s="61"/>
      <c r="K101" s="62"/>
      <c r="L101" s="87"/>
      <c r="M101" s="159"/>
      <c r="N101" s="87"/>
      <c r="O101" s="87"/>
      <c r="P101" s="87"/>
      <c r="Q101" s="87"/>
      <c r="R101" s="87"/>
    </row>
    <row r="102" spans="1:18" s="69" customFormat="1" x14ac:dyDescent="0.25">
      <c r="A102" s="56">
        <v>68</v>
      </c>
      <c r="B102" s="63" t="s">
        <v>243</v>
      </c>
      <c r="C102" s="82">
        <v>413</v>
      </c>
      <c r="D102" s="59"/>
      <c r="E102" s="59"/>
      <c r="F102" s="61">
        <f t="shared" si="5"/>
        <v>0</v>
      </c>
      <c r="G102" s="61"/>
      <c r="H102" s="61"/>
      <c r="I102" s="61"/>
      <c r="J102" s="61"/>
      <c r="K102" s="62"/>
      <c r="L102" s="87"/>
      <c r="M102" s="159"/>
      <c r="N102" s="87"/>
      <c r="O102" s="87"/>
      <c r="P102" s="87"/>
      <c r="Q102" s="87"/>
      <c r="R102" s="87"/>
    </row>
    <row r="103" spans="1:18" s="69" customFormat="1" x14ac:dyDescent="0.25">
      <c r="A103" s="56">
        <v>69</v>
      </c>
      <c r="B103" s="57" t="s">
        <v>208</v>
      </c>
      <c r="C103" s="81">
        <v>420</v>
      </c>
      <c r="D103" s="59"/>
      <c r="E103" s="59"/>
      <c r="F103" s="61">
        <f t="shared" si="5"/>
        <v>0</v>
      </c>
      <c r="G103" s="61"/>
      <c r="H103" s="61"/>
      <c r="I103" s="61"/>
      <c r="J103" s="61"/>
      <c r="K103" s="62"/>
      <c r="L103" s="87"/>
      <c r="M103" s="159"/>
      <c r="N103" s="87"/>
      <c r="O103" s="87"/>
      <c r="P103" s="87"/>
      <c r="Q103" s="87"/>
      <c r="R103" s="87"/>
    </row>
    <row r="104" spans="1:18" x14ac:dyDescent="0.25">
      <c r="A104" s="56">
        <v>70</v>
      </c>
      <c r="B104" s="55" t="s">
        <v>245</v>
      </c>
      <c r="C104" s="83">
        <v>500</v>
      </c>
      <c r="D104" s="84">
        <f>SUM(D35+D36+D37+D72+D84+D94)</f>
        <v>0</v>
      </c>
      <c r="E104" s="84">
        <f>SUM(E35+E36+E37+E72+E84+E94)</f>
        <v>0</v>
      </c>
      <c r="F104" s="85">
        <f>SUM(G104:J104)</f>
        <v>31222.799999999999</v>
      </c>
      <c r="G104" s="85">
        <f>G35+G36+G37</f>
        <v>7320.9000000000005</v>
      </c>
      <c r="H104" s="85">
        <f>H35+H36+H37</f>
        <v>8153.7999999999993</v>
      </c>
      <c r="I104" s="85">
        <f>I35+I36+I37</f>
        <v>8153.3</v>
      </c>
      <c r="J104" s="85">
        <f>J35+J36+J37</f>
        <v>7594.7999999999993</v>
      </c>
      <c r="K104" s="62"/>
      <c r="L104" s="87"/>
      <c r="M104" s="159"/>
      <c r="N104" s="87"/>
      <c r="O104" s="87"/>
      <c r="P104" s="87"/>
      <c r="Q104" s="87"/>
      <c r="R104" s="87"/>
    </row>
    <row r="105" spans="1:18" x14ac:dyDescent="0.25">
      <c r="A105" s="56">
        <v>71</v>
      </c>
      <c r="B105" s="55" t="s">
        <v>246</v>
      </c>
      <c r="C105" s="83">
        <v>600</v>
      </c>
      <c r="D105" s="84">
        <f>D42+D45+D46+D52+D53+D56+D58+D59+D60+D86+D99</f>
        <v>0</v>
      </c>
      <c r="E105" s="84">
        <f>E42+E45+E46+E52+E53+E56+E58+E59+E60+E86+E99</f>
        <v>0</v>
      </c>
      <c r="F105" s="85">
        <f>SUM(G105:J105)</f>
        <v>-31200</v>
      </c>
      <c r="G105" s="85">
        <f>G82+G86</f>
        <v>-7314.3000000000011</v>
      </c>
      <c r="H105" s="85">
        <f>H82+H86</f>
        <v>-8148.4</v>
      </c>
      <c r="I105" s="85">
        <f>I82+I86</f>
        <v>-8148.5</v>
      </c>
      <c r="J105" s="85">
        <f>J82+J86</f>
        <v>-7588.7999999999993</v>
      </c>
      <c r="K105" s="62"/>
      <c r="L105" s="87"/>
      <c r="M105" s="159"/>
      <c r="N105" s="87"/>
      <c r="O105" s="87"/>
      <c r="P105" s="87"/>
      <c r="Q105" s="87"/>
      <c r="R105" s="87"/>
    </row>
    <row r="106" spans="1:18" x14ac:dyDescent="0.25">
      <c r="A106" s="56">
        <v>72</v>
      </c>
      <c r="B106" s="57" t="s">
        <v>247</v>
      </c>
      <c r="C106" s="58">
        <v>650</v>
      </c>
      <c r="D106" s="59"/>
      <c r="E106" s="59"/>
      <c r="F106" s="60">
        <f>SUM(G106:J106)</f>
        <v>22.799999999999272</v>
      </c>
      <c r="G106" s="61">
        <f>G104+G105</f>
        <v>6.5999999999994543</v>
      </c>
      <c r="H106" s="61">
        <f>H104+H105</f>
        <v>5.3999999999996362</v>
      </c>
      <c r="I106" s="61">
        <f>I104+I105</f>
        <v>4.8000000000001819</v>
      </c>
      <c r="J106" s="61">
        <f>J104+J105</f>
        <v>6</v>
      </c>
      <c r="K106" s="62"/>
      <c r="L106" s="87"/>
      <c r="M106" s="159"/>
      <c r="N106" s="87"/>
      <c r="O106" s="87"/>
      <c r="P106" s="87"/>
      <c r="Q106" s="87"/>
      <c r="R106" s="87"/>
    </row>
    <row r="107" spans="1:18" x14ac:dyDescent="0.25">
      <c r="A107" s="56">
        <v>73</v>
      </c>
      <c r="B107" s="251" t="s">
        <v>248</v>
      </c>
      <c r="C107" s="248"/>
      <c r="D107" s="75"/>
      <c r="E107" s="75"/>
      <c r="F107" s="86" t="s">
        <v>249</v>
      </c>
      <c r="G107" s="86" t="s">
        <v>250</v>
      </c>
      <c r="H107" s="86" t="s">
        <v>251</v>
      </c>
      <c r="I107" s="86" t="s">
        <v>252</v>
      </c>
      <c r="J107" s="86" t="s">
        <v>253</v>
      </c>
      <c r="K107" s="87"/>
      <c r="L107" s="87"/>
      <c r="M107" s="159"/>
      <c r="N107" s="87"/>
      <c r="O107" s="87"/>
      <c r="P107" s="87"/>
      <c r="Q107" s="87"/>
      <c r="R107" s="87"/>
    </row>
    <row r="108" spans="1:18" x14ac:dyDescent="0.25">
      <c r="A108" s="56">
        <v>74</v>
      </c>
      <c r="B108" s="57" t="s">
        <v>254</v>
      </c>
      <c r="C108" s="58">
        <v>700</v>
      </c>
      <c r="D108" s="59"/>
      <c r="E108" s="59"/>
      <c r="F108" s="61">
        <v>207</v>
      </c>
      <c r="G108" s="61">
        <v>207</v>
      </c>
      <c r="H108" s="61">
        <v>207</v>
      </c>
      <c r="I108" s="61">
        <v>207</v>
      </c>
      <c r="J108" s="61">
        <v>207</v>
      </c>
      <c r="K108" s="87"/>
      <c r="L108" s="87"/>
      <c r="M108" s="159"/>
      <c r="N108" s="87"/>
      <c r="O108" s="87"/>
      <c r="P108" s="87"/>
      <c r="Q108" s="87"/>
      <c r="R108" s="87"/>
    </row>
    <row r="109" spans="1:18" x14ac:dyDescent="0.25">
      <c r="A109" s="56">
        <v>75</v>
      </c>
      <c r="B109" s="57" t="s">
        <v>255</v>
      </c>
      <c r="C109" s="58">
        <v>710</v>
      </c>
      <c r="D109" s="59"/>
      <c r="E109" s="59"/>
      <c r="F109" s="59">
        <v>5451.57</v>
      </c>
      <c r="G109" s="59">
        <v>5451.57</v>
      </c>
      <c r="H109" s="59">
        <v>5451.57</v>
      </c>
      <c r="I109" s="59">
        <v>5451.57</v>
      </c>
      <c r="J109" s="59">
        <f>I109</f>
        <v>5451.57</v>
      </c>
      <c r="K109" s="87"/>
      <c r="L109" s="87"/>
      <c r="M109" s="159"/>
      <c r="N109" s="87"/>
      <c r="O109" s="87"/>
      <c r="P109" s="87"/>
      <c r="Q109" s="87"/>
      <c r="R109" s="87"/>
    </row>
    <row r="110" spans="1:18" x14ac:dyDescent="0.25">
      <c r="A110" s="56">
        <v>76</v>
      </c>
      <c r="B110" s="57" t="s">
        <v>256</v>
      </c>
      <c r="C110" s="58">
        <v>720</v>
      </c>
      <c r="D110" s="59"/>
      <c r="E110" s="59"/>
      <c r="F110" s="59"/>
      <c r="G110" s="59"/>
      <c r="H110" s="59"/>
      <c r="I110" s="59">
        <v>0</v>
      </c>
      <c r="J110" s="59">
        <v>0</v>
      </c>
      <c r="K110" s="87"/>
      <c r="L110" s="87"/>
      <c r="M110" s="159"/>
      <c r="N110" s="87"/>
      <c r="O110" s="87"/>
      <c r="P110" s="87"/>
      <c r="Q110" s="87"/>
      <c r="R110" s="87"/>
    </row>
    <row r="111" spans="1:18" x14ac:dyDescent="0.25">
      <c r="A111" s="56">
        <v>77</v>
      </c>
      <c r="B111" s="57" t="s">
        <v>257</v>
      </c>
      <c r="C111" s="58">
        <v>730</v>
      </c>
      <c r="D111" s="59"/>
      <c r="E111" s="59"/>
      <c r="F111" s="59"/>
      <c r="G111" s="59"/>
      <c r="H111" s="59"/>
      <c r="I111" s="59">
        <v>0</v>
      </c>
      <c r="J111" s="59">
        <v>0</v>
      </c>
      <c r="K111" s="87"/>
      <c r="L111" s="87"/>
      <c r="M111" s="159"/>
      <c r="N111" s="87"/>
      <c r="O111" s="87"/>
      <c r="P111" s="87"/>
      <c r="Q111" s="87"/>
      <c r="R111" s="87"/>
    </row>
    <row r="112" spans="1:18" x14ac:dyDescent="0.25">
      <c r="B112" s="41"/>
      <c r="C112" s="88"/>
      <c r="D112" s="89"/>
      <c r="E112" s="89"/>
      <c r="F112" s="89"/>
      <c r="G112" s="89"/>
      <c r="H112" s="89"/>
      <c r="I112" s="89"/>
      <c r="J112" s="89"/>
      <c r="K112" s="87"/>
      <c r="L112" s="87"/>
      <c r="M112" s="159"/>
      <c r="N112" s="87"/>
      <c r="O112" s="87"/>
      <c r="P112" s="87"/>
      <c r="Q112" s="87"/>
      <c r="R112" s="87"/>
    </row>
    <row r="113" spans="2:13" x14ac:dyDescent="0.25">
      <c r="B113" s="41"/>
      <c r="D113" s="90"/>
      <c r="E113" s="91"/>
      <c r="F113" s="91"/>
      <c r="G113" s="91"/>
      <c r="H113" s="91"/>
      <c r="I113" s="91"/>
      <c r="J113" s="91"/>
    </row>
    <row r="114" spans="2:13" x14ac:dyDescent="0.25">
      <c r="B114" s="92" t="s">
        <v>297</v>
      </c>
      <c r="C114" s="88"/>
      <c r="D114" s="262" t="s">
        <v>258</v>
      </c>
      <c r="E114" s="262"/>
      <c r="F114" s="262"/>
      <c r="G114" s="93"/>
      <c r="H114" s="263" t="s">
        <v>259</v>
      </c>
      <c r="I114" s="263"/>
      <c r="J114" s="263"/>
    </row>
    <row r="115" spans="2:13" s="97" customFormat="1" ht="12.75" x14ac:dyDescent="0.25">
      <c r="B115" s="94" t="s">
        <v>260</v>
      </c>
      <c r="C115" s="95"/>
      <c r="D115" s="254" t="s">
        <v>261</v>
      </c>
      <c r="E115" s="254"/>
      <c r="F115" s="254"/>
      <c r="G115" s="96"/>
      <c r="H115" s="255" t="s">
        <v>262</v>
      </c>
      <c r="I115" s="255"/>
      <c r="J115" s="255"/>
      <c r="M115" s="160"/>
    </row>
    <row r="116" spans="2:13" x14ac:dyDescent="0.25">
      <c r="B116" s="41"/>
      <c r="D116" s="90"/>
      <c r="E116" s="91"/>
      <c r="F116" s="91"/>
      <c r="G116" s="91"/>
      <c r="H116" s="91"/>
      <c r="I116" s="91"/>
      <c r="J116" s="91"/>
    </row>
    <row r="117" spans="2:13" x14ac:dyDescent="0.25">
      <c r="B117" s="41"/>
      <c r="D117" s="90"/>
      <c r="E117" s="91"/>
      <c r="F117" s="91"/>
      <c r="G117" s="91"/>
      <c r="H117" s="91"/>
      <c r="I117" s="91"/>
      <c r="J117" s="91"/>
    </row>
    <row r="118" spans="2:13" x14ac:dyDescent="0.25">
      <c r="B118" s="41"/>
      <c r="D118" s="90"/>
      <c r="E118" s="91"/>
      <c r="F118" s="91"/>
      <c r="G118" s="91"/>
      <c r="H118" s="91"/>
      <c r="I118" s="91"/>
      <c r="J118" s="91"/>
    </row>
    <row r="119" spans="2:13" x14ac:dyDescent="0.25">
      <c r="B119" s="41"/>
      <c r="D119" s="90"/>
      <c r="E119" s="91"/>
      <c r="F119" s="91"/>
      <c r="G119" s="91"/>
      <c r="H119" s="91"/>
      <c r="I119" s="91"/>
      <c r="J119" s="91"/>
    </row>
    <row r="120" spans="2:13" x14ac:dyDescent="0.25">
      <c r="B120" s="41"/>
      <c r="D120" s="90"/>
      <c r="E120" s="91"/>
      <c r="F120" s="91"/>
      <c r="G120" s="91"/>
      <c r="H120" s="91"/>
      <c r="I120" s="91"/>
      <c r="J120" s="91"/>
    </row>
    <row r="121" spans="2:13" x14ac:dyDescent="0.25">
      <c r="B121" s="41"/>
      <c r="D121" s="90"/>
      <c r="E121" s="91"/>
      <c r="F121" s="91"/>
      <c r="G121" s="91"/>
      <c r="H121" s="91"/>
      <c r="I121" s="91"/>
      <c r="J121" s="91"/>
    </row>
    <row r="122" spans="2:13" x14ac:dyDescent="0.25">
      <c r="B122" s="41"/>
      <c r="D122" s="90"/>
      <c r="E122" s="91"/>
      <c r="F122" s="91"/>
      <c r="G122" s="91"/>
      <c r="H122" s="91"/>
      <c r="I122" s="91"/>
      <c r="J122" s="91"/>
    </row>
    <row r="123" spans="2:13" x14ac:dyDescent="0.25">
      <c r="B123" s="41"/>
      <c r="D123" s="90"/>
      <c r="E123" s="91"/>
      <c r="F123" s="91"/>
      <c r="G123" s="91"/>
      <c r="H123" s="91"/>
      <c r="I123" s="91"/>
      <c r="J123" s="91"/>
    </row>
    <row r="124" spans="2:13" x14ac:dyDescent="0.25">
      <c r="B124" s="41"/>
      <c r="D124" s="90"/>
      <c r="E124" s="91"/>
      <c r="F124" s="91"/>
      <c r="G124" s="91"/>
      <c r="H124" s="91"/>
      <c r="I124" s="91"/>
      <c r="J124" s="91"/>
    </row>
    <row r="125" spans="2:13" x14ac:dyDescent="0.25">
      <c r="B125" s="41"/>
      <c r="D125" s="90"/>
      <c r="E125" s="91"/>
      <c r="F125" s="91"/>
      <c r="G125" s="91"/>
      <c r="H125" s="91"/>
      <c r="I125" s="91"/>
      <c r="J125" s="91"/>
    </row>
    <row r="126" spans="2:13" x14ac:dyDescent="0.25">
      <c r="B126" s="41"/>
      <c r="D126" s="90"/>
      <c r="E126" s="91"/>
      <c r="F126" s="91"/>
      <c r="G126" s="91"/>
      <c r="H126" s="91"/>
      <c r="I126" s="91"/>
      <c r="J126" s="91"/>
    </row>
    <row r="127" spans="2:13" x14ac:dyDescent="0.25">
      <c r="B127" s="41"/>
      <c r="D127" s="90"/>
      <c r="E127" s="91"/>
      <c r="F127" s="91"/>
      <c r="G127" s="91"/>
      <c r="H127" s="91"/>
      <c r="I127" s="91"/>
      <c r="J127" s="91"/>
    </row>
    <row r="128" spans="2:13" x14ac:dyDescent="0.25">
      <c r="B128" s="41"/>
      <c r="D128" s="90"/>
      <c r="E128" s="91"/>
      <c r="F128" s="91"/>
      <c r="G128" s="91"/>
      <c r="H128" s="91"/>
      <c r="I128" s="91"/>
      <c r="J128" s="91"/>
    </row>
    <row r="129" spans="2:10" x14ac:dyDescent="0.25">
      <c r="B129" s="41"/>
      <c r="D129" s="90"/>
      <c r="E129" s="91"/>
      <c r="F129" s="91"/>
      <c r="G129" s="91"/>
      <c r="H129" s="91"/>
      <c r="I129" s="91"/>
      <c r="J129" s="91"/>
    </row>
    <row r="130" spans="2:10" x14ac:dyDescent="0.25">
      <c r="B130" s="41"/>
      <c r="D130" s="90"/>
      <c r="E130" s="91"/>
      <c r="F130" s="91"/>
      <c r="G130" s="91"/>
      <c r="H130" s="91"/>
      <c r="I130" s="91"/>
      <c r="J130" s="91"/>
    </row>
    <row r="131" spans="2:10" x14ac:dyDescent="0.25">
      <c r="B131" s="41"/>
      <c r="D131" s="90"/>
      <c r="E131" s="91"/>
      <c r="F131" s="91"/>
      <c r="G131" s="91"/>
      <c r="H131" s="91"/>
      <c r="I131" s="91"/>
      <c r="J131" s="91"/>
    </row>
    <row r="132" spans="2:10" x14ac:dyDescent="0.25">
      <c r="B132" s="41"/>
      <c r="D132" s="90"/>
      <c r="E132" s="91"/>
      <c r="F132" s="91"/>
      <c r="G132" s="91"/>
      <c r="H132" s="91"/>
      <c r="I132" s="91"/>
      <c r="J132" s="91"/>
    </row>
    <row r="133" spans="2:10" x14ac:dyDescent="0.25">
      <c r="B133" s="41"/>
      <c r="D133" s="90"/>
      <c r="E133" s="91"/>
      <c r="F133" s="91"/>
      <c r="G133" s="91"/>
      <c r="H133" s="91"/>
      <c r="I133" s="91"/>
      <c r="J133" s="91"/>
    </row>
    <row r="134" spans="2:10" x14ac:dyDescent="0.25">
      <c r="B134" s="41"/>
      <c r="D134" s="90"/>
      <c r="E134" s="91"/>
      <c r="F134" s="91"/>
      <c r="G134" s="91"/>
      <c r="H134" s="91"/>
      <c r="I134" s="91"/>
      <c r="J134" s="91"/>
    </row>
    <row r="135" spans="2:10" x14ac:dyDescent="0.25">
      <c r="B135" s="41"/>
      <c r="D135" s="90"/>
      <c r="E135" s="91"/>
      <c r="F135" s="91"/>
      <c r="G135" s="91"/>
      <c r="H135" s="91"/>
      <c r="I135" s="91"/>
      <c r="J135" s="91"/>
    </row>
    <row r="136" spans="2:10" x14ac:dyDescent="0.25">
      <c r="B136" s="41"/>
      <c r="D136" s="90"/>
      <c r="E136" s="91"/>
      <c r="F136" s="91"/>
      <c r="G136" s="91"/>
      <c r="H136" s="91"/>
      <c r="I136" s="91"/>
      <c r="J136" s="91"/>
    </row>
    <row r="137" spans="2:10" x14ac:dyDescent="0.25">
      <c r="B137" s="41"/>
      <c r="D137" s="90"/>
      <c r="E137" s="91"/>
      <c r="F137" s="91"/>
      <c r="G137" s="91"/>
      <c r="H137" s="91"/>
      <c r="I137" s="91"/>
      <c r="J137" s="91"/>
    </row>
    <row r="138" spans="2:10" x14ac:dyDescent="0.25">
      <c r="B138" s="41"/>
      <c r="D138" s="90"/>
      <c r="E138" s="91"/>
      <c r="F138" s="91"/>
      <c r="G138" s="91"/>
      <c r="H138" s="91"/>
      <c r="I138" s="91"/>
      <c r="J138" s="91"/>
    </row>
    <row r="139" spans="2:10" x14ac:dyDescent="0.25">
      <c r="B139" s="41"/>
      <c r="D139" s="90"/>
      <c r="E139" s="91"/>
      <c r="F139" s="91"/>
      <c r="G139" s="91"/>
      <c r="H139" s="91"/>
      <c r="I139" s="91"/>
      <c r="J139" s="91"/>
    </row>
    <row r="140" spans="2:10" x14ac:dyDescent="0.25">
      <c r="B140" s="41"/>
      <c r="D140" s="90"/>
      <c r="E140" s="91"/>
      <c r="F140" s="91"/>
      <c r="G140" s="91"/>
      <c r="H140" s="91"/>
      <c r="I140" s="91"/>
      <c r="J140" s="91"/>
    </row>
    <row r="141" spans="2:10" x14ac:dyDescent="0.25">
      <c r="B141" s="41"/>
      <c r="D141" s="90"/>
      <c r="E141" s="91"/>
      <c r="F141" s="91"/>
      <c r="G141" s="91"/>
      <c r="H141" s="91"/>
      <c r="I141" s="91"/>
      <c r="J141" s="91"/>
    </row>
    <row r="142" spans="2:10" x14ac:dyDescent="0.25">
      <c r="B142" s="41"/>
      <c r="D142" s="90"/>
      <c r="E142" s="91"/>
      <c r="F142" s="91"/>
      <c r="G142" s="91"/>
      <c r="H142" s="91"/>
      <c r="I142" s="91"/>
      <c r="J142" s="91"/>
    </row>
    <row r="143" spans="2:10" x14ac:dyDescent="0.25">
      <c r="B143" s="41"/>
      <c r="D143" s="90"/>
      <c r="E143" s="91"/>
      <c r="F143" s="91"/>
      <c r="G143" s="91"/>
      <c r="H143" s="91"/>
      <c r="I143" s="91"/>
      <c r="J143" s="91"/>
    </row>
    <row r="144" spans="2:10" x14ac:dyDescent="0.25">
      <c r="B144" s="41"/>
      <c r="D144" s="90"/>
      <c r="E144" s="91"/>
      <c r="F144" s="91"/>
      <c r="G144" s="91"/>
      <c r="H144" s="91"/>
      <c r="I144" s="91"/>
      <c r="J144" s="91"/>
    </row>
    <row r="145" spans="2:10" x14ac:dyDescent="0.25">
      <c r="B145" s="41"/>
      <c r="D145" s="90"/>
      <c r="E145" s="91"/>
      <c r="F145" s="91"/>
      <c r="G145" s="91"/>
      <c r="H145" s="91"/>
      <c r="I145" s="91"/>
      <c r="J145" s="91"/>
    </row>
    <row r="146" spans="2:10" x14ac:dyDescent="0.25">
      <c r="B146" s="41"/>
      <c r="D146" s="90"/>
      <c r="E146" s="91"/>
      <c r="F146" s="91"/>
      <c r="G146" s="91"/>
      <c r="H146" s="91"/>
      <c r="I146" s="91"/>
      <c r="J146" s="91"/>
    </row>
    <row r="147" spans="2:10" x14ac:dyDescent="0.25">
      <c r="B147" s="41"/>
      <c r="D147" s="90"/>
      <c r="E147" s="91"/>
      <c r="F147" s="91"/>
      <c r="G147" s="91"/>
      <c r="H147" s="91"/>
      <c r="I147" s="91"/>
      <c r="J147" s="91"/>
    </row>
    <row r="148" spans="2:10" x14ac:dyDescent="0.25">
      <c r="B148" s="41"/>
      <c r="D148" s="90"/>
      <c r="E148" s="91"/>
      <c r="F148" s="91"/>
      <c r="G148" s="91"/>
      <c r="H148" s="91"/>
      <c r="I148" s="91"/>
      <c r="J148" s="91"/>
    </row>
    <row r="149" spans="2:10" x14ac:dyDescent="0.25">
      <c r="B149" s="41"/>
      <c r="D149" s="90"/>
      <c r="E149" s="91"/>
      <c r="F149" s="91"/>
      <c r="G149" s="91"/>
      <c r="H149" s="91"/>
      <c r="I149" s="91"/>
      <c r="J149" s="91"/>
    </row>
    <row r="150" spans="2:10" x14ac:dyDescent="0.25">
      <c r="B150" s="41"/>
      <c r="D150" s="90"/>
      <c r="E150" s="91"/>
      <c r="F150" s="91"/>
      <c r="G150" s="91"/>
      <c r="H150" s="91"/>
      <c r="I150" s="91"/>
      <c r="J150" s="91"/>
    </row>
    <row r="151" spans="2:10" x14ac:dyDescent="0.25">
      <c r="B151" s="41"/>
      <c r="D151" s="90"/>
      <c r="E151" s="91"/>
      <c r="F151" s="91"/>
      <c r="G151" s="91"/>
      <c r="H151" s="91"/>
      <c r="I151" s="91"/>
      <c r="J151" s="91"/>
    </row>
    <row r="152" spans="2:10" x14ac:dyDescent="0.25">
      <c r="B152" s="41"/>
      <c r="D152" s="90"/>
      <c r="E152" s="91"/>
      <c r="F152" s="91"/>
      <c r="G152" s="91"/>
      <c r="H152" s="91"/>
      <c r="I152" s="91"/>
      <c r="J152" s="91"/>
    </row>
    <row r="153" spans="2:10" x14ac:dyDescent="0.25">
      <c r="B153" s="41"/>
      <c r="D153" s="90"/>
      <c r="E153" s="91"/>
      <c r="F153" s="91"/>
      <c r="G153" s="91"/>
      <c r="H153" s="91"/>
      <c r="I153" s="91"/>
      <c r="J153" s="91"/>
    </row>
    <row r="154" spans="2:10" x14ac:dyDescent="0.25">
      <c r="B154" s="41"/>
      <c r="D154" s="90"/>
      <c r="E154" s="91"/>
      <c r="F154" s="91"/>
      <c r="G154" s="91"/>
      <c r="H154" s="91"/>
      <c r="I154" s="91"/>
      <c r="J154" s="91"/>
    </row>
    <row r="155" spans="2:10" x14ac:dyDescent="0.25">
      <c r="B155" s="41"/>
      <c r="D155" s="90"/>
      <c r="E155" s="91"/>
      <c r="F155" s="91"/>
      <c r="G155" s="91"/>
      <c r="H155" s="91"/>
      <c r="I155" s="91"/>
      <c r="J155" s="91"/>
    </row>
    <row r="156" spans="2:10" x14ac:dyDescent="0.25">
      <c r="B156" s="41"/>
      <c r="D156" s="90"/>
      <c r="E156" s="91"/>
      <c r="F156" s="91"/>
      <c r="G156" s="91"/>
      <c r="H156" s="91"/>
      <c r="I156" s="91"/>
      <c r="J156" s="91"/>
    </row>
    <row r="157" spans="2:10" x14ac:dyDescent="0.25">
      <c r="B157" s="98"/>
    </row>
    <row r="158" spans="2:10" x14ac:dyDescent="0.25">
      <c r="B158" s="98"/>
    </row>
    <row r="159" spans="2:10" x14ac:dyDescent="0.25">
      <c r="B159" s="98"/>
    </row>
    <row r="160" spans="2:10" x14ac:dyDescent="0.25">
      <c r="B160" s="98"/>
    </row>
    <row r="161" spans="2:13" s="38" customFormat="1" x14ac:dyDescent="0.25">
      <c r="B161" s="98"/>
      <c r="M161" s="158"/>
    </row>
    <row r="162" spans="2:13" s="38" customFormat="1" x14ac:dyDescent="0.25">
      <c r="B162" s="98"/>
      <c r="M162" s="158"/>
    </row>
    <row r="163" spans="2:13" s="38" customFormat="1" x14ac:dyDescent="0.25">
      <c r="B163" s="98"/>
      <c r="M163" s="158"/>
    </row>
    <row r="164" spans="2:13" s="38" customFormat="1" x14ac:dyDescent="0.25">
      <c r="B164" s="98"/>
      <c r="M164" s="158"/>
    </row>
    <row r="165" spans="2:13" s="38" customFormat="1" x14ac:dyDescent="0.25">
      <c r="B165" s="98"/>
      <c r="M165" s="158"/>
    </row>
    <row r="166" spans="2:13" s="38" customFormat="1" x14ac:dyDescent="0.25">
      <c r="B166" s="98"/>
      <c r="M166" s="158"/>
    </row>
    <row r="167" spans="2:13" s="38" customFormat="1" x14ac:dyDescent="0.25">
      <c r="B167" s="98"/>
      <c r="M167" s="158"/>
    </row>
    <row r="168" spans="2:13" s="38" customFormat="1" x14ac:dyDescent="0.25">
      <c r="B168" s="98"/>
      <c r="M168" s="158"/>
    </row>
    <row r="169" spans="2:13" s="38" customFormat="1" x14ac:dyDescent="0.25">
      <c r="B169" s="98"/>
      <c r="M169" s="158"/>
    </row>
    <row r="170" spans="2:13" s="38" customFormat="1" x14ac:dyDescent="0.25">
      <c r="B170" s="98"/>
      <c r="M170" s="158"/>
    </row>
    <row r="171" spans="2:13" s="38" customFormat="1" x14ac:dyDescent="0.25">
      <c r="B171" s="98"/>
      <c r="M171" s="158"/>
    </row>
    <row r="172" spans="2:13" s="38" customFormat="1" x14ac:dyDescent="0.25">
      <c r="B172" s="98"/>
      <c r="M172" s="158"/>
    </row>
    <row r="173" spans="2:13" s="38" customFormat="1" x14ac:dyDescent="0.25">
      <c r="B173" s="98"/>
      <c r="M173" s="158"/>
    </row>
    <row r="174" spans="2:13" s="38" customFormat="1" x14ac:dyDescent="0.25">
      <c r="B174" s="98"/>
      <c r="M174" s="158"/>
    </row>
    <row r="175" spans="2:13" s="38" customFormat="1" x14ac:dyDescent="0.25">
      <c r="B175" s="98"/>
      <c r="M175" s="158"/>
    </row>
    <row r="176" spans="2:13" s="38" customFormat="1" x14ac:dyDescent="0.25">
      <c r="B176" s="98"/>
      <c r="M176" s="158"/>
    </row>
    <row r="177" spans="2:13" s="38" customFormat="1" x14ac:dyDescent="0.25">
      <c r="B177" s="98"/>
      <c r="M177" s="158"/>
    </row>
    <row r="178" spans="2:13" s="38" customFormat="1" x14ac:dyDescent="0.25">
      <c r="B178" s="98"/>
      <c r="M178" s="158"/>
    </row>
    <row r="179" spans="2:13" s="38" customFormat="1" x14ac:dyDescent="0.25">
      <c r="B179" s="98"/>
      <c r="M179" s="158"/>
    </row>
    <row r="180" spans="2:13" s="38" customFormat="1" x14ac:dyDescent="0.25">
      <c r="B180" s="98"/>
      <c r="M180" s="158"/>
    </row>
    <row r="181" spans="2:13" s="38" customFormat="1" x14ac:dyDescent="0.25">
      <c r="B181" s="98"/>
      <c r="M181" s="158"/>
    </row>
    <row r="182" spans="2:13" s="38" customFormat="1" x14ac:dyDescent="0.25">
      <c r="B182" s="98"/>
      <c r="M182" s="158"/>
    </row>
    <row r="183" spans="2:13" s="38" customFormat="1" x14ac:dyDescent="0.25">
      <c r="B183" s="98"/>
      <c r="M183" s="158"/>
    </row>
    <row r="184" spans="2:13" s="38" customFormat="1" x14ac:dyDescent="0.25">
      <c r="B184" s="98"/>
      <c r="M184" s="158"/>
    </row>
    <row r="185" spans="2:13" s="38" customFormat="1" x14ac:dyDescent="0.25">
      <c r="B185" s="98"/>
      <c r="M185" s="158"/>
    </row>
    <row r="186" spans="2:13" s="38" customFormat="1" x14ac:dyDescent="0.25">
      <c r="B186" s="98"/>
      <c r="M186" s="158"/>
    </row>
    <row r="187" spans="2:13" s="38" customFormat="1" x14ac:dyDescent="0.25">
      <c r="B187" s="98"/>
      <c r="M187" s="158"/>
    </row>
    <row r="188" spans="2:13" s="38" customFormat="1" x14ac:dyDescent="0.25">
      <c r="B188" s="98"/>
      <c r="M188" s="158"/>
    </row>
    <row r="189" spans="2:13" s="38" customFormat="1" x14ac:dyDescent="0.25">
      <c r="B189" s="98"/>
      <c r="M189" s="158"/>
    </row>
    <row r="190" spans="2:13" s="38" customFormat="1" x14ac:dyDescent="0.25">
      <c r="B190" s="98"/>
      <c r="M190" s="158"/>
    </row>
    <row r="191" spans="2:13" s="38" customFormat="1" x14ac:dyDescent="0.25">
      <c r="B191" s="98"/>
      <c r="M191" s="158"/>
    </row>
    <row r="192" spans="2:13" s="38" customFormat="1" x14ac:dyDescent="0.25">
      <c r="B192" s="98"/>
      <c r="M192" s="158"/>
    </row>
    <row r="193" spans="2:13" s="38" customFormat="1" x14ac:dyDescent="0.25">
      <c r="B193" s="98"/>
      <c r="M193" s="158"/>
    </row>
    <row r="194" spans="2:13" s="38" customFormat="1" x14ac:dyDescent="0.25">
      <c r="B194" s="98"/>
      <c r="M194" s="158"/>
    </row>
    <row r="195" spans="2:13" s="38" customFormat="1" x14ac:dyDescent="0.25">
      <c r="B195" s="98"/>
      <c r="M195" s="158"/>
    </row>
    <row r="196" spans="2:13" s="38" customFormat="1" x14ac:dyDescent="0.25">
      <c r="B196" s="98"/>
      <c r="M196" s="158"/>
    </row>
    <row r="197" spans="2:13" s="38" customFormat="1" x14ac:dyDescent="0.25">
      <c r="B197" s="98"/>
      <c r="M197" s="158"/>
    </row>
    <row r="198" spans="2:13" s="38" customFormat="1" x14ac:dyDescent="0.25">
      <c r="B198" s="98"/>
      <c r="M198" s="158"/>
    </row>
    <row r="199" spans="2:13" s="38" customFormat="1" x14ac:dyDescent="0.25">
      <c r="B199" s="98"/>
      <c r="M199" s="158"/>
    </row>
    <row r="200" spans="2:13" s="38" customFormat="1" x14ac:dyDescent="0.25">
      <c r="B200" s="98"/>
      <c r="M200" s="158"/>
    </row>
    <row r="201" spans="2:13" s="38" customFormat="1" x14ac:dyDescent="0.25">
      <c r="B201" s="98"/>
      <c r="M201" s="158"/>
    </row>
    <row r="202" spans="2:13" s="38" customFormat="1" x14ac:dyDescent="0.25">
      <c r="B202" s="98"/>
      <c r="M202" s="158"/>
    </row>
    <row r="203" spans="2:13" s="38" customFormat="1" x14ac:dyDescent="0.25">
      <c r="B203" s="98"/>
      <c r="M203" s="158"/>
    </row>
    <row r="204" spans="2:13" s="38" customFormat="1" x14ac:dyDescent="0.25">
      <c r="B204" s="98"/>
      <c r="M204" s="158"/>
    </row>
    <row r="205" spans="2:13" s="38" customFormat="1" x14ac:dyDescent="0.25">
      <c r="B205" s="98"/>
      <c r="M205" s="158"/>
    </row>
    <row r="206" spans="2:13" s="38" customFormat="1" x14ac:dyDescent="0.25">
      <c r="B206" s="98"/>
      <c r="M206" s="158"/>
    </row>
    <row r="207" spans="2:13" s="38" customFormat="1" x14ac:dyDescent="0.25">
      <c r="B207" s="98"/>
      <c r="M207" s="158"/>
    </row>
    <row r="208" spans="2:13" s="38" customFormat="1" x14ac:dyDescent="0.25">
      <c r="B208" s="98"/>
      <c r="M208" s="158"/>
    </row>
    <row r="209" spans="2:13" s="38" customFormat="1" x14ac:dyDescent="0.25">
      <c r="B209" s="98"/>
      <c r="M209" s="158"/>
    </row>
    <row r="210" spans="2:13" s="38" customFormat="1" x14ac:dyDescent="0.25">
      <c r="B210" s="98"/>
      <c r="M210" s="158"/>
    </row>
    <row r="211" spans="2:13" s="38" customFormat="1" x14ac:dyDescent="0.25">
      <c r="B211" s="98"/>
      <c r="M211" s="158"/>
    </row>
    <row r="212" spans="2:13" s="38" customFormat="1" x14ac:dyDescent="0.25">
      <c r="B212" s="98"/>
      <c r="M212" s="158"/>
    </row>
    <row r="213" spans="2:13" s="38" customFormat="1" x14ac:dyDescent="0.25">
      <c r="B213" s="98"/>
      <c r="M213" s="158"/>
    </row>
    <row r="214" spans="2:13" s="38" customFormat="1" x14ac:dyDescent="0.25">
      <c r="B214" s="98"/>
      <c r="M214" s="158"/>
    </row>
    <row r="215" spans="2:13" s="38" customFormat="1" x14ac:dyDescent="0.25">
      <c r="B215" s="98"/>
      <c r="M215" s="158"/>
    </row>
    <row r="216" spans="2:13" s="38" customFormat="1" x14ac:dyDescent="0.25">
      <c r="B216" s="98"/>
      <c r="M216" s="158"/>
    </row>
    <row r="217" spans="2:13" s="38" customFormat="1" x14ac:dyDescent="0.25">
      <c r="B217" s="98"/>
      <c r="M217" s="158"/>
    </row>
    <row r="218" spans="2:13" s="38" customFormat="1" x14ac:dyDescent="0.25">
      <c r="B218" s="98"/>
      <c r="M218" s="158"/>
    </row>
    <row r="219" spans="2:13" s="38" customFormat="1" x14ac:dyDescent="0.25">
      <c r="B219" s="98"/>
      <c r="M219" s="158"/>
    </row>
    <row r="220" spans="2:13" s="38" customFormat="1" x14ac:dyDescent="0.25">
      <c r="B220" s="98"/>
      <c r="M220" s="158"/>
    </row>
    <row r="221" spans="2:13" s="38" customFormat="1" x14ac:dyDescent="0.25">
      <c r="B221" s="98"/>
      <c r="M221" s="158"/>
    </row>
    <row r="222" spans="2:13" s="38" customFormat="1" x14ac:dyDescent="0.25">
      <c r="B222" s="98"/>
      <c r="M222" s="158"/>
    </row>
    <row r="223" spans="2:13" s="38" customFormat="1" x14ac:dyDescent="0.25">
      <c r="B223" s="98"/>
      <c r="M223" s="158"/>
    </row>
    <row r="224" spans="2:13" s="38" customFormat="1" x14ac:dyDescent="0.25">
      <c r="B224" s="98"/>
      <c r="M224" s="158"/>
    </row>
    <row r="225" spans="2:13" s="38" customFormat="1" x14ac:dyDescent="0.25">
      <c r="B225" s="98"/>
      <c r="M225" s="158"/>
    </row>
    <row r="226" spans="2:13" s="38" customFormat="1" x14ac:dyDescent="0.25">
      <c r="B226" s="98"/>
      <c r="M226" s="158"/>
    </row>
    <row r="227" spans="2:13" s="38" customFormat="1" x14ac:dyDescent="0.25">
      <c r="B227" s="98"/>
      <c r="M227" s="158"/>
    </row>
    <row r="228" spans="2:13" s="38" customFormat="1" x14ac:dyDescent="0.25">
      <c r="B228" s="98"/>
      <c r="M228" s="158"/>
    </row>
    <row r="229" spans="2:13" s="38" customFormat="1" x14ac:dyDescent="0.25">
      <c r="B229" s="98"/>
      <c r="M229" s="158"/>
    </row>
    <row r="230" spans="2:13" s="38" customFormat="1" x14ac:dyDescent="0.25">
      <c r="B230" s="98"/>
      <c r="M230" s="158"/>
    </row>
    <row r="231" spans="2:13" s="38" customFormat="1" x14ac:dyDescent="0.25">
      <c r="B231" s="98"/>
      <c r="M231" s="158"/>
    </row>
    <row r="232" spans="2:13" s="38" customFormat="1" x14ac:dyDescent="0.25">
      <c r="B232" s="98"/>
      <c r="M232" s="158"/>
    </row>
    <row r="233" spans="2:13" s="38" customFormat="1" x14ac:dyDescent="0.25">
      <c r="B233" s="98"/>
      <c r="M233" s="158"/>
    </row>
    <row r="234" spans="2:13" s="38" customFormat="1" x14ac:dyDescent="0.25">
      <c r="B234" s="98"/>
      <c r="M234" s="158"/>
    </row>
    <row r="235" spans="2:13" s="38" customFormat="1" x14ac:dyDescent="0.25">
      <c r="B235" s="98"/>
      <c r="M235" s="158"/>
    </row>
    <row r="236" spans="2:13" s="38" customFormat="1" x14ac:dyDescent="0.25">
      <c r="B236" s="98"/>
      <c r="M236" s="158"/>
    </row>
    <row r="237" spans="2:13" s="38" customFormat="1" x14ac:dyDescent="0.25">
      <c r="B237" s="98"/>
      <c r="M237" s="158"/>
    </row>
    <row r="238" spans="2:13" s="38" customFormat="1" x14ac:dyDescent="0.25">
      <c r="B238" s="98"/>
      <c r="M238" s="158"/>
    </row>
    <row r="239" spans="2:13" s="38" customFormat="1" x14ac:dyDescent="0.25">
      <c r="B239" s="98"/>
      <c r="M239" s="158"/>
    </row>
    <row r="240" spans="2:13" s="38" customFormat="1" x14ac:dyDescent="0.25">
      <c r="B240" s="98"/>
      <c r="M240" s="158"/>
    </row>
    <row r="241" spans="2:13" s="38" customFormat="1" x14ac:dyDescent="0.25">
      <c r="B241" s="98"/>
      <c r="M241" s="158"/>
    </row>
    <row r="242" spans="2:13" s="38" customFormat="1" x14ac:dyDescent="0.25">
      <c r="B242" s="98"/>
      <c r="M242" s="158"/>
    </row>
    <row r="243" spans="2:13" s="38" customFormat="1" x14ac:dyDescent="0.25">
      <c r="B243" s="98"/>
      <c r="M243" s="158"/>
    </row>
    <row r="244" spans="2:13" s="38" customFormat="1" x14ac:dyDescent="0.25">
      <c r="B244" s="98"/>
      <c r="M244" s="158"/>
    </row>
    <row r="245" spans="2:13" s="38" customFormat="1" x14ac:dyDescent="0.25">
      <c r="B245" s="98"/>
      <c r="M245" s="158"/>
    </row>
    <row r="246" spans="2:13" s="38" customFormat="1" x14ac:dyDescent="0.25">
      <c r="B246" s="98"/>
      <c r="M246" s="158"/>
    </row>
    <row r="247" spans="2:13" s="38" customFormat="1" x14ac:dyDescent="0.25">
      <c r="B247" s="98"/>
      <c r="M247" s="158"/>
    </row>
    <row r="248" spans="2:13" s="38" customFormat="1" x14ac:dyDescent="0.25">
      <c r="B248" s="98"/>
      <c r="M248" s="158"/>
    </row>
    <row r="249" spans="2:13" s="38" customFormat="1" x14ac:dyDescent="0.25">
      <c r="B249" s="98"/>
      <c r="M249" s="158"/>
    </row>
    <row r="250" spans="2:13" s="38" customFormat="1" x14ac:dyDescent="0.25">
      <c r="B250" s="98"/>
      <c r="M250" s="158"/>
    </row>
    <row r="251" spans="2:13" s="38" customFormat="1" x14ac:dyDescent="0.25">
      <c r="B251" s="98"/>
      <c r="M251" s="158"/>
    </row>
    <row r="252" spans="2:13" s="38" customFormat="1" x14ac:dyDescent="0.25">
      <c r="B252" s="98"/>
      <c r="M252" s="158"/>
    </row>
    <row r="253" spans="2:13" s="38" customFormat="1" x14ac:dyDescent="0.25">
      <c r="B253" s="98"/>
      <c r="M253" s="158"/>
    </row>
    <row r="254" spans="2:13" s="38" customFormat="1" x14ac:dyDescent="0.25">
      <c r="B254" s="98"/>
      <c r="M254" s="158"/>
    </row>
    <row r="255" spans="2:13" s="38" customFormat="1" x14ac:dyDescent="0.25">
      <c r="B255" s="98"/>
      <c r="M255" s="158"/>
    </row>
    <row r="256" spans="2:13" s="38" customFormat="1" x14ac:dyDescent="0.25">
      <c r="B256" s="98"/>
      <c r="M256" s="158"/>
    </row>
    <row r="257" spans="2:13" s="38" customFormat="1" x14ac:dyDescent="0.25">
      <c r="B257" s="98"/>
      <c r="M257" s="158"/>
    </row>
    <row r="258" spans="2:13" s="38" customFormat="1" x14ac:dyDescent="0.25">
      <c r="B258" s="98"/>
      <c r="M258" s="158"/>
    </row>
    <row r="259" spans="2:13" s="38" customFormat="1" x14ac:dyDescent="0.25">
      <c r="B259" s="98"/>
      <c r="M259" s="158"/>
    </row>
    <row r="260" spans="2:13" s="38" customFormat="1" x14ac:dyDescent="0.25">
      <c r="B260" s="98"/>
      <c r="M260" s="158"/>
    </row>
    <row r="261" spans="2:13" s="38" customFormat="1" x14ac:dyDescent="0.25">
      <c r="B261" s="98"/>
      <c r="M261" s="158"/>
    </row>
    <row r="262" spans="2:13" s="38" customFormat="1" x14ac:dyDescent="0.25">
      <c r="B262" s="98"/>
      <c r="M262" s="158"/>
    </row>
    <row r="263" spans="2:13" s="38" customFormat="1" x14ac:dyDescent="0.25">
      <c r="B263" s="98"/>
      <c r="M263" s="158"/>
    </row>
    <row r="264" spans="2:13" s="38" customFormat="1" x14ac:dyDescent="0.25">
      <c r="B264" s="98"/>
      <c r="M264" s="158"/>
    </row>
    <row r="265" spans="2:13" s="38" customFormat="1" x14ac:dyDescent="0.25">
      <c r="B265" s="98"/>
      <c r="M265" s="158"/>
    </row>
    <row r="266" spans="2:13" s="38" customFormat="1" x14ac:dyDescent="0.25">
      <c r="B266" s="98"/>
      <c r="M266" s="158"/>
    </row>
    <row r="267" spans="2:13" s="38" customFormat="1" x14ac:dyDescent="0.25">
      <c r="B267" s="98"/>
      <c r="M267" s="158"/>
    </row>
    <row r="268" spans="2:13" s="38" customFormat="1" x14ac:dyDescent="0.25">
      <c r="B268" s="98"/>
      <c r="M268" s="158"/>
    </row>
    <row r="269" spans="2:13" s="38" customFormat="1" x14ac:dyDescent="0.25">
      <c r="B269" s="98"/>
      <c r="M269" s="158"/>
    </row>
    <row r="270" spans="2:13" s="38" customFormat="1" x14ac:dyDescent="0.25">
      <c r="B270" s="98"/>
      <c r="M270" s="158"/>
    </row>
    <row r="271" spans="2:13" s="38" customFormat="1" x14ac:dyDescent="0.25">
      <c r="B271" s="98"/>
      <c r="M271" s="158"/>
    </row>
    <row r="272" spans="2:13" s="38" customFormat="1" x14ac:dyDescent="0.25">
      <c r="B272" s="98"/>
      <c r="M272" s="158"/>
    </row>
    <row r="273" spans="2:13" s="38" customFormat="1" x14ac:dyDescent="0.25">
      <c r="B273" s="98"/>
      <c r="M273" s="158"/>
    </row>
    <row r="274" spans="2:13" s="38" customFormat="1" x14ac:dyDescent="0.25">
      <c r="B274" s="98"/>
      <c r="M274" s="158"/>
    </row>
    <row r="275" spans="2:13" s="38" customFormat="1" x14ac:dyDescent="0.25">
      <c r="B275" s="98"/>
      <c r="M275" s="158"/>
    </row>
    <row r="276" spans="2:13" s="38" customFormat="1" x14ac:dyDescent="0.25">
      <c r="B276" s="98"/>
      <c r="M276" s="158"/>
    </row>
    <row r="277" spans="2:13" s="38" customFormat="1" x14ac:dyDescent="0.25">
      <c r="B277" s="98"/>
      <c r="M277" s="158"/>
    </row>
    <row r="278" spans="2:13" s="38" customFormat="1" x14ac:dyDescent="0.25">
      <c r="B278" s="98"/>
      <c r="M278" s="158"/>
    </row>
    <row r="279" spans="2:13" s="38" customFormat="1" x14ac:dyDescent="0.25">
      <c r="B279" s="98"/>
      <c r="M279" s="158"/>
    </row>
    <row r="280" spans="2:13" s="38" customFormat="1" x14ac:dyDescent="0.25">
      <c r="B280" s="98"/>
      <c r="M280" s="158"/>
    </row>
    <row r="281" spans="2:13" s="38" customFormat="1" x14ac:dyDescent="0.25">
      <c r="B281" s="98"/>
      <c r="M281" s="158"/>
    </row>
    <row r="282" spans="2:13" s="38" customFormat="1" x14ac:dyDescent="0.25">
      <c r="B282" s="98"/>
      <c r="M282" s="158"/>
    </row>
    <row r="283" spans="2:13" s="38" customFormat="1" x14ac:dyDescent="0.25">
      <c r="B283" s="98"/>
      <c r="M283" s="158"/>
    </row>
    <row r="284" spans="2:13" s="38" customFormat="1" x14ac:dyDescent="0.25">
      <c r="B284" s="98"/>
      <c r="M284" s="158"/>
    </row>
    <row r="285" spans="2:13" s="38" customFormat="1" x14ac:dyDescent="0.25">
      <c r="B285" s="98"/>
      <c r="M285" s="158"/>
    </row>
    <row r="286" spans="2:13" s="38" customFormat="1" x14ac:dyDescent="0.25">
      <c r="B286" s="98"/>
      <c r="M286" s="158"/>
    </row>
    <row r="287" spans="2:13" s="38" customFormat="1" x14ac:dyDescent="0.25">
      <c r="B287" s="98"/>
      <c r="M287" s="158"/>
    </row>
    <row r="288" spans="2:13" s="38" customFormat="1" x14ac:dyDescent="0.25">
      <c r="B288" s="98"/>
      <c r="M288" s="158"/>
    </row>
    <row r="289" spans="2:13" s="38" customFormat="1" x14ac:dyDescent="0.25">
      <c r="B289" s="98"/>
      <c r="M289" s="158"/>
    </row>
    <row r="290" spans="2:13" s="38" customFormat="1" x14ac:dyDescent="0.25">
      <c r="B290" s="98"/>
      <c r="M290" s="158"/>
    </row>
    <row r="291" spans="2:13" s="38" customFormat="1" x14ac:dyDescent="0.25">
      <c r="B291" s="98"/>
      <c r="M291" s="158"/>
    </row>
    <row r="292" spans="2:13" s="38" customFormat="1" x14ac:dyDescent="0.25">
      <c r="B292" s="98"/>
      <c r="M292" s="158"/>
    </row>
    <row r="293" spans="2:13" s="38" customFormat="1" x14ac:dyDescent="0.25">
      <c r="B293" s="98"/>
      <c r="M293" s="158"/>
    </row>
    <row r="294" spans="2:13" s="38" customFormat="1" x14ac:dyDescent="0.25">
      <c r="B294" s="98"/>
      <c r="M294" s="158"/>
    </row>
    <row r="295" spans="2:13" s="38" customFormat="1" x14ac:dyDescent="0.25">
      <c r="B295" s="98"/>
      <c r="M295" s="158"/>
    </row>
    <row r="296" spans="2:13" s="38" customFormat="1" x14ac:dyDescent="0.25">
      <c r="B296" s="98"/>
      <c r="M296" s="158"/>
    </row>
    <row r="297" spans="2:13" s="38" customFormat="1" x14ac:dyDescent="0.25">
      <c r="B297" s="98"/>
      <c r="M297" s="158"/>
    </row>
    <row r="298" spans="2:13" s="38" customFormat="1" x14ac:dyDescent="0.25">
      <c r="B298" s="98"/>
      <c r="M298" s="158"/>
    </row>
    <row r="299" spans="2:13" s="38" customFormat="1" x14ac:dyDescent="0.25">
      <c r="B299" s="98"/>
      <c r="M299" s="158"/>
    </row>
    <row r="300" spans="2:13" s="38" customFormat="1" x14ac:dyDescent="0.25">
      <c r="B300" s="98"/>
      <c r="M300" s="158"/>
    </row>
    <row r="301" spans="2:13" s="38" customFormat="1" x14ac:dyDescent="0.25">
      <c r="B301" s="98"/>
      <c r="M301" s="158"/>
    </row>
    <row r="302" spans="2:13" s="38" customFormat="1" x14ac:dyDescent="0.25">
      <c r="B302" s="98"/>
      <c r="M302" s="158"/>
    </row>
    <row r="303" spans="2:13" s="38" customFormat="1" x14ac:dyDescent="0.25">
      <c r="B303" s="98"/>
      <c r="M303" s="158"/>
    </row>
    <row r="304" spans="2:13" s="38" customFormat="1" x14ac:dyDescent="0.25">
      <c r="B304" s="98"/>
      <c r="M304" s="158"/>
    </row>
    <row r="305" spans="2:13" s="38" customFormat="1" x14ac:dyDescent="0.25">
      <c r="B305" s="98"/>
      <c r="M305" s="158"/>
    </row>
    <row r="306" spans="2:13" s="38" customFormat="1" x14ac:dyDescent="0.25">
      <c r="B306" s="98"/>
      <c r="M306" s="158"/>
    </row>
    <row r="307" spans="2:13" s="38" customFormat="1" x14ac:dyDescent="0.25">
      <c r="B307" s="98"/>
      <c r="M307" s="158"/>
    </row>
    <row r="308" spans="2:13" s="38" customFormat="1" x14ac:dyDescent="0.25">
      <c r="B308" s="98"/>
      <c r="M308" s="158"/>
    </row>
    <row r="309" spans="2:13" s="38" customFormat="1" x14ac:dyDescent="0.25">
      <c r="B309" s="98"/>
      <c r="M309" s="158"/>
    </row>
    <row r="310" spans="2:13" s="38" customFormat="1" x14ac:dyDescent="0.25">
      <c r="B310" s="98"/>
      <c r="M310" s="158"/>
    </row>
    <row r="311" spans="2:13" s="38" customFormat="1" x14ac:dyDescent="0.25">
      <c r="B311" s="98"/>
      <c r="M311" s="158"/>
    </row>
    <row r="312" spans="2:13" s="38" customFormat="1" x14ac:dyDescent="0.25">
      <c r="B312" s="98"/>
      <c r="M312" s="158"/>
    </row>
    <row r="313" spans="2:13" s="38" customFormat="1" x14ac:dyDescent="0.25">
      <c r="B313" s="98"/>
      <c r="M313" s="158"/>
    </row>
    <row r="314" spans="2:13" s="38" customFormat="1" x14ac:dyDescent="0.25">
      <c r="B314" s="98"/>
      <c r="M314" s="158"/>
    </row>
    <row r="315" spans="2:13" s="38" customFormat="1" x14ac:dyDescent="0.25">
      <c r="B315" s="98"/>
      <c r="M315" s="158"/>
    </row>
    <row r="316" spans="2:13" s="38" customFormat="1" x14ac:dyDescent="0.25">
      <c r="B316" s="98"/>
      <c r="M316" s="158"/>
    </row>
    <row r="317" spans="2:13" s="38" customFormat="1" x14ac:dyDescent="0.25">
      <c r="B317" s="98"/>
      <c r="M317" s="158"/>
    </row>
    <row r="318" spans="2:13" s="38" customFormat="1" x14ac:dyDescent="0.25">
      <c r="B318" s="98"/>
      <c r="M318" s="158"/>
    </row>
    <row r="319" spans="2:13" s="38" customFormat="1" x14ac:dyDescent="0.25">
      <c r="B319" s="98"/>
      <c r="M319" s="158"/>
    </row>
    <row r="320" spans="2:13" s="38" customFormat="1" x14ac:dyDescent="0.25">
      <c r="B320" s="98"/>
      <c r="M320" s="158"/>
    </row>
    <row r="321" spans="2:13" s="38" customFormat="1" x14ac:dyDescent="0.25">
      <c r="B321" s="98"/>
      <c r="M321" s="158"/>
    </row>
    <row r="322" spans="2:13" s="38" customFormat="1" x14ac:dyDescent="0.25">
      <c r="B322" s="98"/>
      <c r="M322" s="158"/>
    </row>
    <row r="323" spans="2:13" s="38" customFormat="1" x14ac:dyDescent="0.25">
      <c r="B323" s="98"/>
      <c r="M323" s="158"/>
    </row>
  </sheetData>
  <mergeCells count="35">
    <mergeCell ref="H11:I11"/>
    <mergeCell ref="C13:F13"/>
    <mergeCell ref="I13:J13"/>
    <mergeCell ref="C14:G14"/>
    <mergeCell ref="C15:F15"/>
    <mergeCell ref="C16:F16"/>
    <mergeCell ref="G21:I21"/>
    <mergeCell ref="C22:F22"/>
    <mergeCell ref="C23:J23"/>
    <mergeCell ref="D114:F114"/>
    <mergeCell ref="H114:J114"/>
    <mergeCell ref="C24:F24"/>
    <mergeCell ref="C25:F25"/>
    <mergeCell ref="B27:J27"/>
    <mergeCell ref="B28:J28"/>
    <mergeCell ref="C17:F17"/>
    <mergeCell ref="C18:F18"/>
    <mergeCell ref="C19:F19"/>
    <mergeCell ref="C20:F20"/>
    <mergeCell ref="G20:I20"/>
    <mergeCell ref="C21:F21"/>
    <mergeCell ref="D115:F115"/>
    <mergeCell ref="H115:J115"/>
    <mergeCell ref="F30:F31"/>
    <mergeCell ref="G30:J30"/>
    <mergeCell ref="C30:C31"/>
    <mergeCell ref="B107:C107"/>
    <mergeCell ref="K30:K31"/>
    <mergeCell ref="B33:J33"/>
    <mergeCell ref="B34:K34"/>
    <mergeCell ref="B76:J76"/>
    <mergeCell ref="B93:J93"/>
    <mergeCell ref="B30:B31"/>
    <mergeCell ref="D30:D31"/>
    <mergeCell ref="E30:E31"/>
  </mergeCells>
  <pageMargins left="0.78740157480314965" right="0.23622047244094491" top="0.59055118110236227" bottom="0.59055118110236227" header="0.19685039370078741" footer="0.19685039370078741"/>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06"/>
  <sheetViews>
    <sheetView tabSelected="1" topLeftCell="B1" zoomScale="70" zoomScaleNormal="70" workbookViewId="0">
      <selection activeCell="G40" sqref="G40:H40"/>
    </sheetView>
  </sheetViews>
  <sheetFormatPr defaultColWidth="9.140625" defaultRowHeight="18.75" x14ac:dyDescent="0.25"/>
  <cols>
    <col min="1" max="1" width="4.85546875" style="37" hidden="1" customWidth="1"/>
    <col min="2" max="2" width="73.140625" style="37" customWidth="1"/>
    <col min="3" max="3" width="13.7109375" style="38" customWidth="1"/>
    <col min="4" max="4" width="14.85546875" style="38" customWidth="1"/>
    <col min="5" max="5" width="11.28515625" style="38" customWidth="1"/>
    <col min="6" max="6" width="14.140625" style="37" customWidth="1"/>
    <col min="7" max="7" width="12.140625" style="37" customWidth="1"/>
    <col min="8" max="8" width="15.7109375" style="37" customWidth="1"/>
    <col min="9" max="9" width="1.140625" style="37" hidden="1" customWidth="1"/>
    <col min="10" max="10" width="4.42578125" style="37" hidden="1" customWidth="1"/>
    <col min="11" max="11" width="20.42578125" style="56" hidden="1" customWidth="1"/>
    <col min="12" max="12" width="19" style="37" hidden="1" customWidth="1"/>
    <col min="13" max="13" width="18.85546875" style="37" hidden="1" customWidth="1"/>
    <col min="14" max="14" width="18.5703125" style="37" hidden="1" customWidth="1"/>
    <col min="15" max="15" width="18.7109375" style="37" hidden="1" customWidth="1"/>
    <col min="16" max="16" width="11.140625" style="37" hidden="1" customWidth="1"/>
    <col min="17" max="17" width="9.140625" style="37" hidden="1" customWidth="1"/>
    <col min="18" max="19" width="14" style="37" hidden="1" customWidth="1"/>
    <col min="20" max="23" width="9.140625" style="37" hidden="1" customWidth="1"/>
    <col min="24" max="16384" width="9.140625" style="37"/>
  </cols>
  <sheetData>
    <row r="2" spans="2:8" x14ac:dyDescent="0.25">
      <c r="F2" s="39" t="s">
        <v>133</v>
      </c>
      <c r="G2" s="40"/>
    </row>
    <row r="3" spans="2:8" x14ac:dyDescent="0.25">
      <c r="F3" s="39" t="s">
        <v>135</v>
      </c>
      <c r="G3" s="40"/>
    </row>
    <row r="4" spans="2:8" x14ac:dyDescent="0.25">
      <c r="F4" s="39" t="s">
        <v>136</v>
      </c>
      <c r="G4" s="40"/>
    </row>
    <row r="5" spans="2:8" ht="20.25" x14ac:dyDescent="0.25">
      <c r="B5" s="217"/>
      <c r="F5" s="39" t="s">
        <v>137</v>
      </c>
      <c r="G5" s="40" t="s">
        <v>134</v>
      </c>
    </row>
    <row r="6" spans="2:8" x14ac:dyDescent="0.25">
      <c r="F6" s="264" t="s">
        <v>138</v>
      </c>
      <c r="G6" s="265"/>
    </row>
    <row r="8" spans="2:8" x14ac:dyDescent="0.25">
      <c r="C8" s="266"/>
      <c r="D8" s="266"/>
      <c r="E8" s="266"/>
      <c r="F8" s="266"/>
      <c r="G8" s="264" t="s">
        <v>139</v>
      </c>
      <c r="H8" s="265"/>
    </row>
    <row r="9" spans="2:8" ht="28.5" customHeight="1" x14ac:dyDescent="0.25">
      <c r="B9" s="42" t="s">
        <v>140</v>
      </c>
      <c r="C9" s="257" t="s">
        <v>469</v>
      </c>
      <c r="D9" s="257"/>
      <c r="E9" s="257"/>
      <c r="F9" s="257"/>
      <c r="G9" s="39" t="s">
        <v>142</v>
      </c>
      <c r="H9" s="40">
        <v>32477087</v>
      </c>
    </row>
    <row r="10" spans="2:8" x14ac:dyDescent="0.25">
      <c r="B10" s="42" t="s">
        <v>143</v>
      </c>
      <c r="C10" s="257" t="s">
        <v>144</v>
      </c>
      <c r="D10" s="257"/>
      <c r="E10" s="257"/>
      <c r="F10" s="257"/>
      <c r="G10" s="39" t="s">
        <v>145</v>
      </c>
      <c r="H10" s="40">
        <v>150</v>
      </c>
    </row>
    <row r="11" spans="2:8" x14ac:dyDescent="0.25">
      <c r="B11" s="42" t="s">
        <v>146</v>
      </c>
      <c r="C11" s="257" t="s">
        <v>147</v>
      </c>
      <c r="D11" s="257"/>
      <c r="E11" s="257"/>
      <c r="F11" s="257"/>
      <c r="G11" s="39" t="s">
        <v>148</v>
      </c>
      <c r="H11" s="227">
        <v>2610600000</v>
      </c>
    </row>
    <row r="12" spans="2:8" x14ac:dyDescent="0.25">
      <c r="B12" s="42" t="s">
        <v>149</v>
      </c>
      <c r="C12" s="257"/>
      <c r="D12" s="257"/>
      <c r="E12" s="257"/>
      <c r="F12" s="257"/>
      <c r="G12" s="218" t="s">
        <v>150</v>
      </c>
      <c r="H12" s="40"/>
    </row>
    <row r="13" spans="2:8" x14ac:dyDescent="0.25">
      <c r="B13" s="42" t="s">
        <v>151</v>
      </c>
      <c r="C13" s="257"/>
      <c r="D13" s="257"/>
      <c r="E13" s="257"/>
      <c r="F13" s="257"/>
      <c r="G13" s="39" t="s">
        <v>152</v>
      </c>
      <c r="H13" s="40"/>
    </row>
    <row r="14" spans="2:8" x14ac:dyDescent="0.25">
      <c r="B14" s="42" t="s">
        <v>153</v>
      </c>
      <c r="C14" s="275"/>
      <c r="D14" s="275"/>
      <c r="E14" s="275"/>
      <c r="F14" s="275"/>
      <c r="G14" s="48" t="s">
        <v>154</v>
      </c>
      <c r="H14" s="40" t="s">
        <v>473</v>
      </c>
    </row>
    <row r="15" spans="2:8" ht="18.75" customHeight="1" x14ac:dyDescent="0.25">
      <c r="B15" s="42" t="s">
        <v>468</v>
      </c>
      <c r="C15" s="57"/>
      <c r="D15" s="57"/>
      <c r="E15" s="271" t="s">
        <v>157</v>
      </c>
      <c r="F15" s="272"/>
      <c r="G15" s="272"/>
      <c r="H15" s="219"/>
    </row>
    <row r="16" spans="2:8" ht="18.75" customHeight="1" x14ac:dyDescent="0.25">
      <c r="B16" s="42" t="s">
        <v>158</v>
      </c>
      <c r="C16" s="57" t="s">
        <v>159</v>
      </c>
      <c r="D16" s="57"/>
      <c r="E16" s="271" t="s">
        <v>160</v>
      </c>
      <c r="F16" s="272"/>
      <c r="G16" s="272"/>
      <c r="H16" s="219"/>
    </row>
    <row r="17" spans="1:17" x14ac:dyDescent="0.25">
      <c r="B17" s="42" t="s">
        <v>161</v>
      </c>
      <c r="C17" s="247">
        <v>10</v>
      </c>
      <c r="D17" s="247"/>
      <c r="E17" s="247"/>
      <c r="F17" s="247"/>
      <c r="G17" s="50"/>
      <c r="H17" s="46"/>
    </row>
    <row r="18" spans="1:17" x14ac:dyDescent="0.25">
      <c r="B18" s="42" t="s">
        <v>162</v>
      </c>
      <c r="C18" s="257" t="s">
        <v>470</v>
      </c>
      <c r="D18" s="257"/>
      <c r="E18" s="257"/>
      <c r="F18" s="257"/>
      <c r="G18" s="257"/>
      <c r="H18" s="257"/>
    </row>
    <row r="19" spans="1:17" x14ac:dyDescent="0.25">
      <c r="B19" s="42" t="s">
        <v>164</v>
      </c>
      <c r="C19" s="268" t="s">
        <v>471</v>
      </c>
      <c r="D19" s="268"/>
      <c r="E19" s="268"/>
      <c r="F19" s="268"/>
      <c r="G19" s="46"/>
      <c r="H19" s="46"/>
    </row>
    <row r="20" spans="1:17" x14ac:dyDescent="0.25">
      <c r="B20" s="42" t="s">
        <v>166</v>
      </c>
      <c r="C20" s="260" t="s">
        <v>472</v>
      </c>
      <c r="D20" s="260"/>
      <c r="E20" s="260"/>
      <c r="F20" s="260"/>
      <c r="G20" s="44"/>
      <c r="H20" s="44"/>
    </row>
    <row r="22" spans="1:17" ht="18" customHeight="1" x14ac:dyDescent="0.25">
      <c r="B22" s="269" t="s">
        <v>478</v>
      </c>
      <c r="C22" s="269"/>
      <c r="D22" s="269"/>
      <c r="E22" s="269"/>
      <c r="F22" s="269"/>
      <c r="G22" s="269"/>
      <c r="H22" s="269"/>
    </row>
    <row r="23" spans="1:17" hidden="1" x14ac:dyDescent="0.25">
      <c r="B23" s="270"/>
      <c r="C23" s="270"/>
      <c r="D23" s="270"/>
      <c r="E23" s="270"/>
      <c r="F23" s="270"/>
      <c r="G23" s="270"/>
      <c r="H23" s="270"/>
      <c r="I23" s="52"/>
      <c r="J23" s="52"/>
      <c r="K23" s="52"/>
      <c r="L23" s="52"/>
      <c r="M23" s="52"/>
      <c r="N23" s="52"/>
      <c r="O23" s="52"/>
      <c r="P23" s="52"/>
    </row>
    <row r="24" spans="1:17" x14ac:dyDescent="0.25">
      <c r="B24" s="51"/>
      <c r="C24" s="53"/>
      <c r="D24" s="51"/>
      <c r="E24" s="51"/>
      <c r="F24" s="51"/>
      <c r="G24" s="51"/>
      <c r="H24" s="51"/>
    </row>
    <row r="25" spans="1:17" ht="60.75" customHeight="1" x14ac:dyDescent="0.25">
      <c r="B25" s="49" t="s">
        <v>169</v>
      </c>
      <c r="C25" s="49" t="s">
        <v>170</v>
      </c>
      <c r="D25" s="49" t="s">
        <v>171</v>
      </c>
      <c r="E25" s="281" t="s">
        <v>173</v>
      </c>
      <c r="F25" s="282"/>
      <c r="G25" s="281" t="s">
        <v>467</v>
      </c>
      <c r="H25" s="282"/>
    </row>
    <row r="26" spans="1:17" x14ac:dyDescent="0.25">
      <c r="B26" s="40">
        <v>1</v>
      </c>
      <c r="C26" s="49">
        <v>2</v>
      </c>
      <c r="D26" s="49">
        <v>3</v>
      </c>
      <c r="E26" s="281">
        <v>4</v>
      </c>
      <c r="F26" s="282"/>
      <c r="G26" s="281">
        <v>5</v>
      </c>
      <c r="H26" s="282"/>
      <c r="I26" s="49">
        <v>10</v>
      </c>
      <c r="J26" s="53"/>
      <c r="K26" s="51"/>
      <c r="L26" s="53"/>
      <c r="M26" s="53"/>
      <c r="N26" s="53"/>
      <c r="O26" s="53"/>
      <c r="P26" s="53"/>
    </row>
    <row r="27" spans="1:17" x14ac:dyDescent="0.25">
      <c r="B27" s="248" t="s">
        <v>180</v>
      </c>
      <c r="C27" s="248"/>
      <c r="D27" s="248"/>
      <c r="E27" s="276"/>
      <c r="F27" s="276"/>
      <c r="G27" s="248"/>
      <c r="H27" s="248"/>
      <c r="I27" s="49"/>
      <c r="J27" s="53"/>
      <c r="K27" s="51"/>
      <c r="L27" s="53"/>
      <c r="M27" s="53"/>
      <c r="N27" s="53"/>
      <c r="O27" s="53"/>
      <c r="P27" s="53"/>
    </row>
    <row r="28" spans="1:17" s="56" customFormat="1" x14ac:dyDescent="0.25">
      <c r="B28" s="250" t="s">
        <v>181</v>
      </c>
      <c r="C28" s="250"/>
      <c r="D28" s="250"/>
      <c r="E28" s="277"/>
      <c r="F28" s="277"/>
      <c r="G28" s="250"/>
      <c r="H28" s="250"/>
      <c r="I28" s="250"/>
      <c r="J28" s="117"/>
      <c r="K28" s="117"/>
      <c r="L28" s="117"/>
      <c r="M28" s="117"/>
      <c r="N28" s="117"/>
      <c r="O28" s="117"/>
      <c r="P28" s="117"/>
    </row>
    <row r="29" spans="1:17" s="56" customFormat="1" ht="36.75" customHeight="1" x14ac:dyDescent="0.25">
      <c r="A29" s="56">
        <v>1</v>
      </c>
      <c r="B29" s="57" t="s">
        <v>182</v>
      </c>
      <c r="C29" s="58">
        <v>100</v>
      </c>
      <c r="D29" s="229">
        <v>1233.5</v>
      </c>
      <c r="E29" s="283">
        <v>1500</v>
      </c>
      <c r="F29" s="284"/>
      <c r="G29" s="304">
        <v>1404.3</v>
      </c>
      <c r="H29" s="299"/>
      <c r="I29" s="62" t="s">
        <v>183</v>
      </c>
      <c r="J29" s="87"/>
      <c r="K29" s="159"/>
      <c r="L29" s="87"/>
      <c r="M29" s="87"/>
      <c r="N29" s="87"/>
      <c r="O29" s="87"/>
      <c r="P29" s="87"/>
      <c r="Q29" s="124">
        <v>1196</v>
      </c>
    </row>
    <row r="30" spans="1:17" s="56" customFormat="1" ht="55.5" customHeight="1" x14ac:dyDescent="0.25">
      <c r="A30" s="56">
        <v>2</v>
      </c>
      <c r="B30" s="57" t="s">
        <v>414</v>
      </c>
      <c r="C30" s="58">
        <v>110</v>
      </c>
      <c r="D30" s="59" t="s">
        <v>466</v>
      </c>
      <c r="E30" s="285" t="s">
        <v>466</v>
      </c>
      <c r="F30" s="286"/>
      <c r="G30" s="278" t="s">
        <v>466</v>
      </c>
      <c r="H30" s="279"/>
      <c r="I30" s="62" t="s">
        <v>126</v>
      </c>
      <c r="J30" s="87"/>
      <c r="K30" s="159"/>
      <c r="L30" s="87"/>
      <c r="M30" s="87"/>
      <c r="N30" s="87"/>
      <c r="O30" s="87"/>
      <c r="P30" s="87"/>
    </row>
    <row r="31" spans="1:17" s="56" customFormat="1" x14ac:dyDescent="0.25">
      <c r="A31" s="56">
        <v>3</v>
      </c>
      <c r="B31" s="57" t="s">
        <v>476</v>
      </c>
      <c r="C31" s="58">
        <v>120</v>
      </c>
      <c r="D31" s="59" t="s">
        <v>466</v>
      </c>
      <c r="E31" s="285" t="s">
        <v>466</v>
      </c>
      <c r="F31" s="286"/>
      <c r="G31" s="278" t="s">
        <v>466</v>
      </c>
      <c r="H31" s="279"/>
      <c r="I31" s="62"/>
      <c r="J31" s="87"/>
      <c r="K31" s="159"/>
      <c r="L31" s="87"/>
      <c r="M31" s="87"/>
      <c r="N31" s="87"/>
      <c r="O31" s="87"/>
      <c r="P31" s="87"/>
    </row>
    <row r="32" spans="1:17" s="56" customFormat="1" ht="24.75" customHeight="1" x14ac:dyDescent="0.25">
      <c r="A32" s="56">
        <v>6</v>
      </c>
      <c r="B32" s="57" t="s">
        <v>189</v>
      </c>
      <c r="C32" s="58">
        <v>130</v>
      </c>
      <c r="D32" s="230">
        <v>1076.2</v>
      </c>
      <c r="E32" s="273">
        <v>1.2</v>
      </c>
      <c r="F32" s="274"/>
      <c r="G32" s="292">
        <v>1220.4000000000001</v>
      </c>
      <c r="H32" s="293"/>
      <c r="I32" s="62" t="s">
        <v>188</v>
      </c>
      <c r="J32" s="87"/>
      <c r="K32" s="159"/>
      <c r="L32" s="87"/>
      <c r="M32" s="87"/>
      <c r="N32" s="87"/>
      <c r="O32" s="87"/>
      <c r="P32" s="87"/>
    </row>
    <row r="33" spans="1:19" x14ac:dyDescent="0.3">
      <c r="A33" s="56">
        <v>7</v>
      </c>
      <c r="B33" s="57" t="s">
        <v>190</v>
      </c>
      <c r="C33" s="49">
        <v>140</v>
      </c>
      <c r="D33" s="231">
        <v>16.600000000000001</v>
      </c>
      <c r="E33" s="287">
        <v>16.600000000000001</v>
      </c>
      <c r="F33" s="288"/>
      <c r="G33" s="294">
        <v>16.600000000000001</v>
      </c>
      <c r="H33" s="295"/>
      <c r="I33" s="62"/>
      <c r="J33" s="87"/>
      <c r="K33" s="159"/>
      <c r="L33" s="87"/>
      <c r="M33" s="87"/>
      <c r="N33" s="87"/>
      <c r="O33" s="87"/>
      <c r="P33" s="87"/>
    </row>
    <row r="34" spans="1:19" s="69" customFormat="1" x14ac:dyDescent="0.25">
      <c r="A34" s="56">
        <v>8</v>
      </c>
      <c r="B34" s="226" t="s">
        <v>474</v>
      </c>
      <c r="C34" s="225">
        <v>141</v>
      </c>
      <c r="D34" s="229">
        <v>16.600000000000001</v>
      </c>
      <c r="E34" s="283">
        <v>16.600000000000001</v>
      </c>
      <c r="F34" s="289"/>
      <c r="G34" s="298">
        <v>16.600000000000001</v>
      </c>
      <c r="H34" s="301"/>
      <c r="I34" s="62"/>
      <c r="J34" s="87"/>
      <c r="K34" s="159"/>
      <c r="L34" s="87"/>
      <c r="M34" s="87"/>
      <c r="N34" s="87"/>
      <c r="O34" s="87"/>
      <c r="P34" s="87"/>
    </row>
    <row r="35" spans="1:19" s="69" customFormat="1" x14ac:dyDescent="0.25">
      <c r="A35" s="56">
        <v>9</v>
      </c>
      <c r="B35" s="57" t="s">
        <v>193</v>
      </c>
      <c r="C35" s="49">
        <v>150</v>
      </c>
      <c r="D35" s="59" t="s">
        <v>466</v>
      </c>
      <c r="E35" s="283" t="s">
        <v>466</v>
      </c>
      <c r="F35" s="289"/>
      <c r="G35" s="298" t="s">
        <v>466</v>
      </c>
      <c r="H35" s="301"/>
      <c r="I35" s="62"/>
      <c r="J35" s="164"/>
      <c r="K35" s="162">
        <f>L35+M35+N35+O35</f>
        <v>714000</v>
      </c>
      <c r="L35" s="161">
        <v>178500</v>
      </c>
      <c r="M35" s="161">
        <v>178500</v>
      </c>
      <c r="N35" s="161">
        <v>178500</v>
      </c>
      <c r="O35" s="161">
        <v>178500</v>
      </c>
      <c r="P35" s="87"/>
      <c r="Q35" s="69">
        <v>2220</v>
      </c>
      <c r="R35" s="99" t="e">
        <f>#REF!</f>
        <v>#REF!</v>
      </c>
      <c r="S35" s="99" t="e">
        <f>#REF!</f>
        <v>#REF!</v>
      </c>
    </row>
    <row r="36" spans="1:19" s="69" customFormat="1" x14ac:dyDescent="0.25">
      <c r="A36" s="56">
        <v>11</v>
      </c>
      <c r="B36" s="57" t="s">
        <v>194</v>
      </c>
      <c r="C36" s="49">
        <v>160</v>
      </c>
      <c r="D36" s="231">
        <v>6</v>
      </c>
      <c r="E36" s="287">
        <v>8</v>
      </c>
      <c r="F36" s="288"/>
      <c r="G36" s="302">
        <v>7.2</v>
      </c>
      <c r="H36" s="303"/>
      <c r="I36" s="62"/>
      <c r="J36" s="164"/>
      <c r="K36" s="162">
        <f>L36+M36+N36+O36</f>
        <v>362000</v>
      </c>
      <c r="L36" s="161" t="s">
        <v>415</v>
      </c>
      <c r="M36" s="161" t="s">
        <v>416</v>
      </c>
      <c r="N36" s="161">
        <v>90000</v>
      </c>
      <c r="O36" s="161">
        <v>91000</v>
      </c>
      <c r="P36" s="87"/>
      <c r="Q36" s="69">
        <v>2210</v>
      </c>
      <c r="R36" s="69" t="e">
        <f>(#REF!+#REF!)/2</f>
        <v>#REF!</v>
      </c>
    </row>
    <row r="37" spans="1:19" s="69" customFormat="1" x14ac:dyDescent="0.25">
      <c r="A37" s="56">
        <v>12</v>
      </c>
      <c r="B37" s="226" t="s">
        <v>195</v>
      </c>
      <c r="C37" s="225">
        <v>161</v>
      </c>
      <c r="D37" s="232">
        <v>6</v>
      </c>
      <c r="E37" s="290">
        <v>8</v>
      </c>
      <c r="F37" s="291"/>
      <c r="G37" s="298">
        <v>7.2</v>
      </c>
      <c r="H37" s="301"/>
      <c r="I37" s="62"/>
      <c r="J37" s="87"/>
      <c r="K37" s="159"/>
      <c r="L37" s="87"/>
      <c r="M37" s="87"/>
      <c r="N37" s="87"/>
      <c r="O37" s="87"/>
      <c r="P37" s="87"/>
      <c r="R37" s="99" t="e">
        <f>#REF!</f>
        <v>#REF!</v>
      </c>
      <c r="S37" s="99" t="e">
        <f>#REF!</f>
        <v>#REF!</v>
      </c>
    </row>
    <row r="38" spans="1:19" s="69" customFormat="1" ht="37.5" x14ac:dyDescent="0.25">
      <c r="A38" s="56">
        <v>16</v>
      </c>
      <c r="B38" s="57" t="s">
        <v>199</v>
      </c>
      <c r="C38" s="49">
        <v>170</v>
      </c>
      <c r="D38" s="232">
        <v>35</v>
      </c>
      <c r="E38" s="290">
        <v>40</v>
      </c>
      <c r="F38" s="291"/>
      <c r="G38" s="304">
        <v>58.3</v>
      </c>
      <c r="H38" s="305"/>
      <c r="I38" s="62"/>
      <c r="J38" s="164"/>
      <c r="K38" s="162">
        <f t="shared" ref="K38:K42" si="0">L38+M38+N38+O38</f>
        <v>783568</v>
      </c>
      <c r="L38" s="161">
        <v>372000</v>
      </c>
      <c r="M38" s="161">
        <v>36568</v>
      </c>
      <c r="N38" s="161">
        <v>0</v>
      </c>
      <c r="O38" s="161">
        <v>375000</v>
      </c>
      <c r="P38" s="87"/>
      <c r="R38" s="99" t="e">
        <f>#REF!</f>
        <v>#REF!</v>
      </c>
      <c r="S38" s="99" t="e">
        <f>#REF!</f>
        <v>#REF!</v>
      </c>
    </row>
    <row r="39" spans="1:19" s="69" customFormat="1" x14ac:dyDescent="0.25">
      <c r="A39" s="56">
        <v>17</v>
      </c>
      <c r="B39" s="57" t="s">
        <v>200</v>
      </c>
      <c r="C39" s="49">
        <v>180</v>
      </c>
      <c r="D39" s="232">
        <v>925.5</v>
      </c>
      <c r="E39" s="290">
        <v>1200</v>
      </c>
      <c r="F39" s="291"/>
      <c r="G39" s="304">
        <v>1032.4000000000001</v>
      </c>
      <c r="H39" s="305"/>
      <c r="I39" s="62"/>
      <c r="J39" s="164"/>
      <c r="K39" s="162">
        <f t="shared" si="0"/>
        <v>394000</v>
      </c>
      <c r="L39" s="161">
        <v>88000</v>
      </c>
      <c r="M39" s="161">
        <v>109000</v>
      </c>
      <c r="N39" s="161">
        <v>109000</v>
      </c>
      <c r="O39" s="161">
        <v>88000</v>
      </c>
      <c r="P39" s="87"/>
      <c r="Q39" s="69">
        <v>2240</v>
      </c>
      <c r="R39" s="99" t="e">
        <f>#REF!</f>
        <v>#REF!</v>
      </c>
      <c r="S39" s="99" t="e">
        <f>#REF!</f>
        <v>#REF!</v>
      </c>
    </row>
    <row r="40" spans="1:19" s="69" customFormat="1" x14ac:dyDescent="0.25">
      <c r="A40" s="56">
        <v>18</v>
      </c>
      <c r="B40" s="57" t="s">
        <v>201</v>
      </c>
      <c r="C40" s="49">
        <v>190</v>
      </c>
      <c r="D40" s="59" t="s">
        <v>466</v>
      </c>
      <c r="E40" s="290" t="s">
        <v>466</v>
      </c>
      <c r="F40" s="291"/>
      <c r="G40" s="304" t="s">
        <v>466</v>
      </c>
      <c r="H40" s="305"/>
      <c r="I40" s="62"/>
      <c r="J40" s="164"/>
      <c r="K40" s="162">
        <f t="shared" si="0"/>
        <v>18556500</v>
      </c>
      <c r="L40" s="161">
        <v>4458000</v>
      </c>
      <c r="M40" s="161">
        <v>4929500</v>
      </c>
      <c r="N40" s="161">
        <v>4656800</v>
      </c>
      <c r="O40" s="161">
        <v>4512200</v>
      </c>
      <c r="P40" s="87"/>
    </row>
    <row r="41" spans="1:19" s="69" customFormat="1" x14ac:dyDescent="0.25">
      <c r="A41" s="56">
        <v>19</v>
      </c>
      <c r="B41" s="57" t="s">
        <v>202</v>
      </c>
      <c r="C41" s="49">
        <v>200</v>
      </c>
      <c r="D41" s="229" t="s">
        <v>466</v>
      </c>
      <c r="E41" s="290">
        <v>5</v>
      </c>
      <c r="F41" s="291"/>
      <c r="G41" s="304">
        <v>3.5</v>
      </c>
      <c r="H41" s="305"/>
      <c r="I41" s="62"/>
      <c r="J41" s="164"/>
      <c r="K41" s="162">
        <f t="shared" si="0"/>
        <v>4066000</v>
      </c>
      <c r="L41" s="161">
        <v>978200</v>
      </c>
      <c r="M41" s="161">
        <v>1101200</v>
      </c>
      <c r="N41" s="161">
        <v>1013700</v>
      </c>
      <c r="O41" s="161">
        <v>972900</v>
      </c>
      <c r="P41" s="87"/>
    </row>
    <row r="42" spans="1:19" s="69" customFormat="1" x14ac:dyDescent="0.25">
      <c r="A42" s="56">
        <v>20</v>
      </c>
      <c r="B42" s="57" t="s">
        <v>279</v>
      </c>
      <c r="C42" s="49">
        <v>210</v>
      </c>
      <c r="D42" s="59" t="s">
        <v>466</v>
      </c>
      <c r="E42" s="290" t="s">
        <v>466</v>
      </c>
      <c r="F42" s="291"/>
      <c r="G42" s="298" t="s">
        <v>466</v>
      </c>
      <c r="H42" s="301"/>
      <c r="I42" s="62"/>
      <c r="J42" s="164"/>
      <c r="K42" s="162">
        <f t="shared" si="0"/>
        <v>24000</v>
      </c>
      <c r="L42" s="161">
        <v>5000</v>
      </c>
      <c r="M42" s="161">
        <v>7000</v>
      </c>
      <c r="N42" s="161">
        <v>7000</v>
      </c>
      <c r="O42" s="161">
        <v>5000</v>
      </c>
      <c r="P42" s="87"/>
      <c r="R42" s="99" t="e">
        <f>#REF!</f>
        <v>#REF!</v>
      </c>
      <c r="S42" s="99" t="e">
        <f>#REF!</f>
        <v>#REF!</v>
      </c>
    </row>
    <row r="43" spans="1:19" s="69" customFormat="1" ht="42" customHeight="1" x14ac:dyDescent="0.25">
      <c r="A43" s="56">
        <v>22</v>
      </c>
      <c r="B43" s="57" t="s">
        <v>205</v>
      </c>
      <c r="C43" s="49">
        <v>220</v>
      </c>
      <c r="D43" s="232">
        <v>5</v>
      </c>
      <c r="E43" s="290">
        <v>4</v>
      </c>
      <c r="F43" s="291"/>
      <c r="G43" s="304">
        <v>21.8</v>
      </c>
      <c r="H43" s="305"/>
      <c r="I43" s="62" t="s">
        <v>188</v>
      </c>
      <c r="J43" s="87"/>
      <c r="K43" s="159"/>
      <c r="L43" s="87"/>
      <c r="M43" s="87"/>
      <c r="N43" s="87"/>
      <c r="O43" s="87"/>
      <c r="P43" s="87"/>
    </row>
    <row r="44" spans="1:19" s="69" customFormat="1" ht="41.25" customHeight="1" x14ac:dyDescent="0.25">
      <c r="A44" s="56">
        <v>23</v>
      </c>
      <c r="B44" s="57" t="s">
        <v>207</v>
      </c>
      <c r="C44" s="49">
        <v>230</v>
      </c>
      <c r="D44" s="232">
        <v>66.2</v>
      </c>
      <c r="E44" s="298">
        <f>SUM(G44:H44)</f>
        <v>121.1</v>
      </c>
      <c r="F44" s="299"/>
      <c r="G44" s="332">
        <v>121.1</v>
      </c>
      <c r="H44" s="333"/>
      <c r="I44" s="62" t="s">
        <v>206</v>
      </c>
      <c r="J44" s="164"/>
      <c r="K44" s="162">
        <f>L44+M44+N44+O44</f>
        <v>570000</v>
      </c>
      <c r="L44" s="161">
        <v>95000</v>
      </c>
      <c r="M44" s="161">
        <v>190000</v>
      </c>
      <c r="N44" s="161">
        <v>190000</v>
      </c>
      <c r="O44" s="161">
        <v>95000</v>
      </c>
      <c r="P44" s="87"/>
    </row>
    <row r="45" spans="1:19" s="69" customFormat="1" x14ac:dyDescent="0.25">
      <c r="A45" s="56">
        <v>24</v>
      </c>
      <c r="B45" s="57" t="s">
        <v>475</v>
      </c>
      <c r="C45" s="58">
        <v>240</v>
      </c>
      <c r="D45" s="232">
        <v>29.3</v>
      </c>
      <c r="E45" s="298">
        <v>20</v>
      </c>
      <c r="F45" s="299"/>
      <c r="G45" s="332">
        <v>27.4</v>
      </c>
      <c r="H45" s="333"/>
      <c r="I45" s="62"/>
      <c r="J45" s="87"/>
      <c r="K45" s="159"/>
      <c r="L45" s="87"/>
      <c r="M45" s="87"/>
      <c r="N45" s="87"/>
      <c r="O45" s="87"/>
      <c r="P45" s="87"/>
    </row>
    <row r="46" spans="1:19" s="69" customFormat="1" x14ac:dyDescent="0.25">
      <c r="A46" s="56">
        <v>30</v>
      </c>
      <c r="B46" s="57" t="s">
        <v>220</v>
      </c>
      <c r="C46" s="58">
        <v>250</v>
      </c>
      <c r="D46" s="67" t="s">
        <v>466</v>
      </c>
      <c r="E46" s="278" t="s">
        <v>466</v>
      </c>
      <c r="F46" s="307"/>
      <c r="G46" s="302">
        <v>3.4</v>
      </c>
      <c r="H46" s="333"/>
      <c r="I46" s="62"/>
      <c r="J46" s="164"/>
      <c r="K46" s="162">
        <f t="shared" ref="K46:K52" si="1">L46+M46+N46+O46</f>
        <v>3200000</v>
      </c>
      <c r="L46" s="161">
        <v>770000</v>
      </c>
      <c r="M46" s="161">
        <v>800000</v>
      </c>
      <c r="N46" s="161">
        <v>815000</v>
      </c>
      <c r="O46" s="161">
        <v>815000</v>
      </c>
      <c r="P46" s="87"/>
      <c r="Q46" s="161"/>
      <c r="R46" s="161"/>
      <c r="S46" s="161"/>
    </row>
    <row r="47" spans="1:19" s="69" customFormat="1" x14ac:dyDescent="0.25">
      <c r="A47" s="56"/>
      <c r="B47" s="42" t="s">
        <v>479</v>
      </c>
      <c r="C47" s="58">
        <v>251</v>
      </c>
      <c r="D47" s="67" t="s">
        <v>466</v>
      </c>
      <c r="E47" s="278" t="s">
        <v>466</v>
      </c>
      <c r="F47" s="279"/>
      <c r="G47" s="287">
        <v>3.4</v>
      </c>
      <c r="H47" s="288"/>
      <c r="I47" s="62"/>
      <c r="J47" s="164"/>
      <c r="K47" s="162"/>
      <c r="L47" s="161"/>
      <c r="M47" s="161"/>
      <c r="N47" s="161"/>
      <c r="O47" s="161"/>
      <c r="P47" s="87"/>
      <c r="Q47" s="161"/>
      <c r="R47" s="161"/>
      <c r="S47" s="161"/>
    </row>
    <row r="48" spans="1:19" s="69" customFormat="1" x14ac:dyDescent="0.25">
      <c r="A48" s="56">
        <v>31</v>
      </c>
      <c r="B48" s="250" t="s">
        <v>225</v>
      </c>
      <c r="C48" s="250"/>
      <c r="D48" s="250"/>
      <c r="E48" s="250"/>
      <c r="F48" s="250"/>
      <c r="G48" s="250"/>
      <c r="H48" s="250"/>
      <c r="I48" s="62"/>
      <c r="J48" s="164"/>
      <c r="K48" s="162">
        <f t="shared" si="1"/>
        <v>704000</v>
      </c>
      <c r="L48" s="161">
        <v>169400</v>
      </c>
      <c r="M48" s="161">
        <v>176000</v>
      </c>
      <c r="N48" s="161">
        <v>179300</v>
      </c>
      <c r="O48" s="161">
        <v>179300</v>
      </c>
      <c r="P48" s="87"/>
      <c r="Q48" s="161"/>
      <c r="R48" s="161"/>
      <c r="S48" s="161"/>
    </row>
    <row r="49" spans="1:19" s="69" customFormat="1" ht="21" customHeight="1" x14ac:dyDescent="0.25">
      <c r="A49" s="56">
        <v>32</v>
      </c>
      <c r="B49" s="57" t="s">
        <v>226</v>
      </c>
      <c r="C49" s="40">
        <v>260</v>
      </c>
      <c r="D49" s="59"/>
      <c r="E49" s="310"/>
      <c r="F49" s="307"/>
      <c r="G49" s="296"/>
      <c r="H49" s="306"/>
      <c r="I49" s="62" t="s">
        <v>217</v>
      </c>
      <c r="J49" s="164"/>
      <c r="K49" s="162">
        <f t="shared" si="1"/>
        <v>167000</v>
      </c>
      <c r="L49" s="161">
        <v>63000</v>
      </c>
      <c r="M49" s="161">
        <v>20500</v>
      </c>
      <c r="N49" s="161">
        <v>20500</v>
      </c>
      <c r="O49" s="161">
        <v>63000</v>
      </c>
      <c r="P49" s="87"/>
    </row>
    <row r="50" spans="1:19" s="69" customFormat="1" x14ac:dyDescent="0.25">
      <c r="A50" s="56">
        <v>33</v>
      </c>
      <c r="B50" s="57" t="s">
        <v>200</v>
      </c>
      <c r="C50" s="40">
        <v>270</v>
      </c>
      <c r="D50" s="59"/>
      <c r="E50" s="310"/>
      <c r="F50" s="307"/>
      <c r="G50" s="296"/>
      <c r="H50" s="306"/>
      <c r="I50" s="62"/>
      <c r="J50" s="164"/>
      <c r="K50" s="162">
        <f t="shared" si="1"/>
        <v>3600</v>
      </c>
      <c r="L50" s="161">
        <v>900</v>
      </c>
      <c r="M50" s="161">
        <v>900</v>
      </c>
      <c r="N50" s="161">
        <v>900</v>
      </c>
      <c r="O50" s="161">
        <v>900</v>
      </c>
      <c r="P50" s="87"/>
    </row>
    <row r="51" spans="1:19" s="69" customFormat="1" x14ac:dyDescent="0.25">
      <c r="A51" s="56">
        <v>34</v>
      </c>
      <c r="B51" s="57" t="s">
        <v>201</v>
      </c>
      <c r="C51" s="40">
        <v>280</v>
      </c>
      <c r="D51" s="59"/>
      <c r="E51" s="310"/>
      <c r="F51" s="307"/>
      <c r="G51" s="296"/>
      <c r="H51" s="306"/>
      <c r="I51" s="62"/>
      <c r="J51" s="164"/>
      <c r="K51" s="162">
        <f t="shared" si="1"/>
        <v>42000</v>
      </c>
      <c r="L51" s="161">
        <v>11000</v>
      </c>
      <c r="M51" s="161">
        <v>10000</v>
      </c>
      <c r="N51" s="161">
        <v>10000</v>
      </c>
      <c r="O51" s="161">
        <v>11000</v>
      </c>
      <c r="P51" s="87"/>
    </row>
    <row r="52" spans="1:19" s="69" customFormat="1" ht="21" customHeight="1" x14ac:dyDescent="0.25">
      <c r="A52" s="56">
        <v>35</v>
      </c>
      <c r="B52" s="57" t="s">
        <v>207</v>
      </c>
      <c r="C52" s="40">
        <v>290</v>
      </c>
      <c r="D52" s="59"/>
      <c r="E52" s="278"/>
      <c r="F52" s="307"/>
      <c r="G52" s="296"/>
      <c r="H52" s="307"/>
      <c r="I52" s="62" t="s">
        <v>218</v>
      </c>
      <c r="J52" s="164"/>
      <c r="K52" s="162">
        <f t="shared" si="1"/>
        <v>6000</v>
      </c>
      <c r="L52" s="161">
        <v>3000</v>
      </c>
      <c r="M52" s="161">
        <v>1500</v>
      </c>
      <c r="N52" s="161">
        <v>0</v>
      </c>
      <c r="O52" s="161">
        <v>1500</v>
      </c>
      <c r="P52" s="87"/>
    </row>
    <row r="53" spans="1:19" s="69" customFormat="1" x14ac:dyDescent="0.25">
      <c r="A53" s="56">
        <v>36</v>
      </c>
      <c r="B53" s="57" t="s">
        <v>227</v>
      </c>
      <c r="C53" s="40">
        <v>300</v>
      </c>
      <c r="D53" s="59"/>
      <c r="E53" s="296"/>
      <c r="F53" s="297"/>
      <c r="G53" s="309"/>
      <c r="H53" s="307"/>
      <c r="I53" s="62"/>
      <c r="J53" s="87"/>
      <c r="K53" s="159"/>
      <c r="L53" s="87"/>
      <c r="M53" s="87"/>
      <c r="N53" s="87"/>
      <c r="O53" s="87"/>
      <c r="P53" s="87"/>
    </row>
    <row r="54" spans="1:19" s="69" customFormat="1" x14ac:dyDescent="0.25">
      <c r="A54" s="56">
        <v>37</v>
      </c>
      <c r="B54" s="57" t="s">
        <v>480</v>
      </c>
      <c r="C54" s="40">
        <v>310</v>
      </c>
      <c r="D54" s="59"/>
      <c r="E54" s="310"/>
      <c r="F54" s="307"/>
      <c r="G54" s="296"/>
      <c r="H54" s="306"/>
      <c r="I54" s="62"/>
      <c r="J54" s="164"/>
      <c r="K54" s="162">
        <f>L54+M54+N54+O54</f>
        <v>8000</v>
      </c>
      <c r="L54" s="161">
        <v>2000</v>
      </c>
      <c r="M54" s="161">
        <v>2000</v>
      </c>
      <c r="N54" s="161">
        <v>2000</v>
      </c>
      <c r="O54" s="161">
        <v>2000</v>
      </c>
      <c r="P54" s="87"/>
      <c r="Q54" s="69">
        <v>2800</v>
      </c>
      <c r="R54" s="99" t="e">
        <f>#REF!</f>
        <v>#REF!</v>
      </c>
      <c r="S54" s="99" t="e">
        <f>#REF!</f>
        <v>#REF!</v>
      </c>
    </row>
    <row r="55" spans="1:19" s="69" customFormat="1" x14ac:dyDescent="0.25">
      <c r="A55" s="56">
        <v>38</v>
      </c>
      <c r="B55" s="74" t="s">
        <v>229</v>
      </c>
      <c r="C55" s="75"/>
      <c r="D55" s="75"/>
      <c r="E55" s="75"/>
      <c r="F55" s="75"/>
      <c r="G55" s="75"/>
      <c r="H55" s="76"/>
      <c r="I55" s="62"/>
      <c r="J55" s="87"/>
      <c r="K55" s="159"/>
      <c r="L55" s="87"/>
      <c r="M55" s="87"/>
      <c r="N55" s="87"/>
      <c r="O55" s="87"/>
      <c r="P55" s="87"/>
    </row>
    <row r="56" spans="1:19" s="69" customFormat="1" x14ac:dyDescent="0.25">
      <c r="A56" s="56">
        <v>39</v>
      </c>
      <c r="B56" s="57" t="s">
        <v>230</v>
      </c>
      <c r="C56" s="40">
        <v>320</v>
      </c>
      <c r="D56" s="67"/>
      <c r="E56" s="311"/>
      <c r="F56" s="307"/>
      <c r="G56" s="308"/>
      <c r="H56" s="313"/>
      <c r="I56" s="62"/>
      <c r="J56" s="87"/>
      <c r="K56" s="159"/>
      <c r="L56" s="87"/>
      <c r="M56" s="87"/>
      <c r="N56" s="87"/>
      <c r="O56" s="87"/>
      <c r="P56" s="87"/>
    </row>
    <row r="57" spans="1:19" s="69" customFormat="1" ht="18" customHeight="1" x14ac:dyDescent="0.25">
      <c r="A57" s="56">
        <v>40</v>
      </c>
      <c r="B57" s="57" t="s">
        <v>417</v>
      </c>
      <c r="C57" s="224">
        <v>321</v>
      </c>
      <c r="D57" s="59"/>
      <c r="E57" s="310"/>
      <c r="F57" s="307"/>
      <c r="G57" s="310"/>
      <c r="H57" s="312"/>
      <c r="I57" s="62" t="s">
        <v>223</v>
      </c>
      <c r="J57" s="87"/>
      <c r="K57" s="159"/>
      <c r="L57" s="87"/>
      <c r="M57" s="87"/>
      <c r="N57" s="87"/>
      <c r="O57" s="87"/>
      <c r="P57" s="87"/>
    </row>
    <row r="58" spans="1:19" s="69" customFormat="1" x14ac:dyDescent="0.25">
      <c r="A58" s="56">
        <v>41</v>
      </c>
      <c r="B58" s="55" t="s">
        <v>232</v>
      </c>
      <c r="C58" s="77">
        <v>330</v>
      </c>
      <c r="D58" s="78">
        <f>SUM(D59:D64)</f>
        <v>0</v>
      </c>
      <c r="E58" s="315">
        <f>SUM(E59:E64)</f>
        <v>0</v>
      </c>
      <c r="F58" s="307"/>
      <c r="G58" s="309"/>
      <c r="H58" s="314"/>
      <c r="I58" s="62"/>
      <c r="J58" s="164"/>
      <c r="K58" s="162">
        <f>L58+M58+N58+O58</f>
        <v>30000</v>
      </c>
      <c r="L58" s="161"/>
      <c r="M58" s="161"/>
      <c r="N58" s="161"/>
      <c r="O58" s="161">
        <v>30000</v>
      </c>
      <c r="P58" s="87"/>
    </row>
    <row r="59" spans="1:19" s="69" customFormat="1" x14ac:dyDescent="0.25">
      <c r="A59" s="56">
        <v>42</v>
      </c>
      <c r="B59" s="57" t="s">
        <v>233</v>
      </c>
      <c r="C59" s="232">
        <v>331</v>
      </c>
      <c r="D59" s="59"/>
      <c r="E59" s="310"/>
      <c r="F59" s="307"/>
      <c r="G59" s="296"/>
      <c r="H59" s="306"/>
      <c r="I59" s="62"/>
      <c r="J59" s="87"/>
      <c r="K59" s="159"/>
      <c r="L59" s="87"/>
      <c r="M59" s="87"/>
      <c r="N59" s="87"/>
      <c r="O59" s="87"/>
      <c r="P59" s="87"/>
    </row>
    <row r="60" spans="1:19" s="69" customFormat="1" x14ac:dyDescent="0.25">
      <c r="A60" s="56">
        <v>43</v>
      </c>
      <c r="B60" s="57" t="s">
        <v>234</v>
      </c>
      <c r="C60" s="77">
        <v>332</v>
      </c>
      <c r="D60" s="59"/>
      <c r="E60" s="310"/>
      <c r="F60" s="307"/>
      <c r="G60" s="296"/>
      <c r="H60" s="306"/>
      <c r="I60" s="62"/>
      <c r="J60" s="87"/>
      <c r="K60" s="159"/>
      <c r="L60" s="87"/>
      <c r="M60" s="87"/>
      <c r="N60" s="87"/>
      <c r="O60" s="87"/>
      <c r="P60" s="87"/>
    </row>
    <row r="61" spans="1:19" s="69" customFormat="1" ht="37.5" x14ac:dyDescent="0.25">
      <c r="A61" s="56">
        <v>44</v>
      </c>
      <c r="B61" s="57" t="s">
        <v>235</v>
      </c>
      <c r="C61" s="232">
        <v>333</v>
      </c>
      <c r="D61" s="59"/>
      <c r="E61" s="296">
        <f>SUM(G61:H61)</f>
        <v>0</v>
      </c>
      <c r="F61" s="307"/>
      <c r="G61" s="296"/>
      <c r="H61" s="306"/>
      <c r="I61" s="62"/>
      <c r="J61" s="87"/>
      <c r="K61" s="159"/>
      <c r="L61" s="87"/>
      <c r="M61" s="87"/>
      <c r="N61" s="87"/>
      <c r="O61" s="87"/>
      <c r="P61" s="87"/>
    </row>
    <row r="62" spans="1:19" s="69" customFormat="1" x14ac:dyDescent="0.25">
      <c r="A62" s="56">
        <v>45</v>
      </c>
      <c r="B62" s="57" t="s">
        <v>236</v>
      </c>
      <c r="C62" s="77">
        <v>334</v>
      </c>
      <c r="D62" s="59"/>
      <c r="E62" s="296">
        <f>SUM(G62:H62)</f>
        <v>0</v>
      </c>
      <c r="F62" s="307"/>
      <c r="G62" s="296"/>
      <c r="H62" s="306"/>
      <c r="I62" s="62"/>
      <c r="J62" s="87"/>
      <c r="K62" s="159"/>
      <c r="L62" s="87"/>
      <c r="M62" s="87"/>
      <c r="N62" s="87"/>
      <c r="O62" s="87"/>
      <c r="P62" s="87"/>
    </row>
    <row r="63" spans="1:19" s="69" customFormat="1" ht="37.5" x14ac:dyDescent="0.25">
      <c r="A63" s="56">
        <v>46</v>
      </c>
      <c r="B63" s="57" t="s">
        <v>237</v>
      </c>
      <c r="C63" s="77">
        <v>335</v>
      </c>
      <c r="D63" s="59"/>
      <c r="E63" s="296">
        <f>SUM(G63:H63)</f>
        <v>0</v>
      </c>
      <c r="F63" s="307"/>
      <c r="G63" s="296"/>
      <c r="H63" s="306"/>
      <c r="I63" s="62"/>
      <c r="J63" s="87"/>
      <c r="K63" s="159"/>
      <c r="L63" s="87"/>
      <c r="M63" s="87"/>
      <c r="N63" s="87"/>
      <c r="O63" s="87"/>
      <c r="P63" s="87"/>
    </row>
    <row r="64" spans="1:19" s="69" customFormat="1" x14ac:dyDescent="0.25">
      <c r="A64" s="56">
        <v>47</v>
      </c>
      <c r="B64" s="57" t="s">
        <v>238</v>
      </c>
      <c r="C64" s="232">
        <v>336</v>
      </c>
      <c r="D64" s="59"/>
      <c r="E64" s="296">
        <f>SUM(G64:G64)</f>
        <v>0</v>
      </c>
      <c r="F64" s="307"/>
      <c r="G64" s="296">
        <v>0</v>
      </c>
      <c r="H64" s="282"/>
      <c r="I64" s="62"/>
      <c r="J64" s="87"/>
      <c r="K64" s="159"/>
      <c r="L64" s="87"/>
      <c r="M64" s="87"/>
      <c r="N64" s="87"/>
      <c r="O64" s="87"/>
      <c r="P64" s="87"/>
    </row>
    <row r="65" spans="1:16" s="69" customFormat="1" x14ac:dyDescent="0.25">
      <c r="A65" s="56">
        <v>48</v>
      </c>
      <c r="B65" s="251" t="s">
        <v>239</v>
      </c>
      <c r="C65" s="248"/>
      <c r="D65" s="248"/>
      <c r="E65" s="248"/>
      <c r="F65" s="248"/>
      <c r="G65" s="248"/>
      <c r="H65" s="248"/>
      <c r="I65" s="62"/>
      <c r="J65" s="87"/>
      <c r="K65" s="159"/>
      <c r="L65" s="87"/>
      <c r="M65" s="87"/>
      <c r="N65" s="87"/>
      <c r="O65" s="87"/>
      <c r="P65" s="87"/>
    </row>
    <row r="66" spans="1:16" s="69" customFormat="1" x14ac:dyDescent="0.25">
      <c r="A66" s="56">
        <v>49</v>
      </c>
      <c r="B66" s="57" t="s">
        <v>240</v>
      </c>
      <c r="C66" s="81">
        <v>340</v>
      </c>
      <c r="D66" s="67">
        <f>SUM(D67:D70)</f>
        <v>0</v>
      </c>
      <c r="E66" s="311">
        <f>SUM(E67:E70)</f>
        <v>0</v>
      </c>
      <c r="F66" s="307"/>
      <c r="G66" s="308"/>
      <c r="H66" s="313"/>
      <c r="I66" s="62"/>
      <c r="J66" s="87"/>
      <c r="K66" s="159"/>
      <c r="L66" s="87"/>
      <c r="M66" s="87"/>
      <c r="N66" s="87"/>
      <c r="O66" s="87"/>
      <c r="P66" s="87"/>
    </row>
    <row r="67" spans="1:16" s="69" customFormat="1" x14ac:dyDescent="0.25">
      <c r="A67" s="56">
        <v>50</v>
      </c>
      <c r="B67" s="63" t="s">
        <v>241</v>
      </c>
      <c r="C67" s="81">
        <v>341</v>
      </c>
      <c r="D67" s="59"/>
      <c r="E67" s="310"/>
      <c r="F67" s="307"/>
      <c r="G67" s="296"/>
      <c r="H67" s="306"/>
      <c r="I67" s="62"/>
      <c r="J67" s="87"/>
      <c r="K67" s="159"/>
      <c r="L67" s="87"/>
      <c r="M67" s="87"/>
      <c r="N67" s="87"/>
      <c r="O67" s="87"/>
      <c r="P67" s="87"/>
    </row>
    <row r="68" spans="1:16" s="69" customFormat="1" x14ac:dyDescent="0.25">
      <c r="A68" s="56">
        <v>51</v>
      </c>
      <c r="B68" s="63" t="s">
        <v>242</v>
      </c>
      <c r="C68" s="81">
        <v>342</v>
      </c>
      <c r="D68" s="59"/>
      <c r="E68" s="310"/>
      <c r="F68" s="307"/>
      <c r="G68" s="296"/>
      <c r="H68" s="306"/>
      <c r="I68" s="62"/>
      <c r="J68" s="164"/>
      <c r="K68" s="162">
        <f>L68+M68+N68+O68</f>
        <v>225000</v>
      </c>
      <c r="L68" s="161">
        <v>75000</v>
      </c>
      <c r="M68" s="161">
        <v>75000</v>
      </c>
      <c r="N68" s="161">
        <v>75000</v>
      </c>
      <c r="O68" s="161">
        <v>0</v>
      </c>
      <c r="P68" s="87"/>
    </row>
    <row r="69" spans="1:16" s="69" customFormat="1" x14ac:dyDescent="0.25">
      <c r="A69" s="56">
        <v>52</v>
      </c>
      <c r="B69" s="63" t="s">
        <v>243</v>
      </c>
      <c r="C69" s="81">
        <v>343</v>
      </c>
      <c r="D69" s="59"/>
      <c r="E69" s="310"/>
      <c r="F69" s="307"/>
      <c r="G69" s="296"/>
      <c r="H69" s="306"/>
      <c r="I69" s="62"/>
      <c r="J69" s="87"/>
      <c r="K69" s="159"/>
      <c r="L69" s="87"/>
      <c r="M69" s="87"/>
      <c r="N69" s="87"/>
      <c r="O69" s="87"/>
      <c r="P69" s="87"/>
    </row>
    <row r="70" spans="1:16" s="69" customFormat="1" x14ac:dyDescent="0.25">
      <c r="A70" s="56">
        <v>53</v>
      </c>
      <c r="B70" s="57" t="s">
        <v>413</v>
      </c>
      <c r="C70" s="81">
        <v>350</v>
      </c>
      <c r="D70" s="59"/>
      <c r="E70" s="310"/>
      <c r="F70" s="307"/>
      <c r="G70" s="296"/>
      <c r="H70" s="306"/>
      <c r="I70" s="62"/>
      <c r="J70" s="87"/>
      <c r="K70" s="159"/>
      <c r="L70" s="87"/>
      <c r="M70" s="87"/>
      <c r="N70" s="87"/>
      <c r="O70" s="87"/>
      <c r="P70" s="87"/>
    </row>
    <row r="71" spans="1:16" s="69" customFormat="1" ht="37.5" x14ac:dyDescent="0.25">
      <c r="A71" s="56">
        <v>54</v>
      </c>
      <c r="B71" s="57" t="s">
        <v>244</v>
      </c>
      <c r="C71" s="81">
        <v>360</v>
      </c>
      <c r="D71" s="67">
        <f>SUM(D72:D75)</f>
        <v>0</v>
      </c>
      <c r="E71" s="311">
        <f>SUM(E72:E75)</f>
        <v>0</v>
      </c>
      <c r="F71" s="307"/>
      <c r="G71" s="308"/>
      <c r="H71" s="313"/>
      <c r="I71" s="62"/>
      <c r="J71" s="87"/>
      <c r="K71" s="159"/>
      <c r="L71" s="87"/>
      <c r="M71" s="87"/>
      <c r="N71" s="87"/>
      <c r="O71" s="87"/>
      <c r="P71" s="87"/>
    </row>
    <row r="72" spans="1:16" s="69" customFormat="1" x14ac:dyDescent="0.25">
      <c r="A72" s="56">
        <v>55</v>
      </c>
      <c r="B72" s="63" t="s">
        <v>241</v>
      </c>
      <c r="C72" s="81">
        <v>361</v>
      </c>
      <c r="D72" s="59"/>
      <c r="E72" s="310"/>
      <c r="F72" s="307"/>
      <c r="G72" s="296"/>
      <c r="H72" s="306"/>
      <c r="I72" s="62"/>
      <c r="J72" s="87"/>
      <c r="K72" s="159"/>
      <c r="L72" s="87"/>
      <c r="M72" s="87"/>
      <c r="N72" s="87"/>
      <c r="O72" s="87"/>
      <c r="P72" s="87"/>
    </row>
    <row r="73" spans="1:16" s="69" customFormat="1" x14ac:dyDescent="0.25">
      <c r="A73" s="56">
        <v>56</v>
      </c>
      <c r="B73" s="63" t="s">
        <v>242</v>
      </c>
      <c r="C73" s="81">
        <v>362</v>
      </c>
      <c r="D73" s="59"/>
      <c r="E73" s="310"/>
      <c r="F73" s="307"/>
      <c r="G73" s="296"/>
      <c r="H73" s="306"/>
      <c r="I73" s="62"/>
      <c r="J73" s="87"/>
      <c r="K73" s="159"/>
      <c r="L73" s="87"/>
      <c r="M73" s="87"/>
      <c r="N73" s="87"/>
      <c r="O73" s="87"/>
      <c r="P73" s="87"/>
    </row>
    <row r="74" spans="1:16" s="69" customFormat="1" x14ac:dyDescent="0.25">
      <c r="A74" s="56">
        <v>57</v>
      </c>
      <c r="B74" s="63" t="s">
        <v>243</v>
      </c>
      <c r="C74" s="81">
        <v>363</v>
      </c>
      <c r="D74" s="59"/>
      <c r="E74" s="310"/>
      <c r="F74" s="307"/>
      <c r="G74" s="296"/>
      <c r="H74" s="306"/>
      <c r="I74" s="62"/>
      <c r="J74" s="87"/>
      <c r="K74" s="159"/>
      <c r="L74" s="87"/>
      <c r="M74" s="87"/>
      <c r="N74" s="87"/>
      <c r="O74" s="87"/>
      <c r="P74" s="87"/>
    </row>
    <row r="75" spans="1:16" s="69" customFormat="1" x14ac:dyDescent="0.25">
      <c r="A75" s="56">
        <v>58</v>
      </c>
      <c r="B75" s="57" t="s">
        <v>208</v>
      </c>
      <c r="C75" s="81">
        <v>370</v>
      </c>
      <c r="D75" s="59"/>
      <c r="E75" s="310"/>
      <c r="F75" s="307"/>
      <c r="G75" s="296"/>
      <c r="H75" s="306"/>
      <c r="I75" s="62"/>
      <c r="J75" s="87"/>
      <c r="K75" s="159"/>
      <c r="L75" s="87"/>
      <c r="M75" s="87"/>
      <c r="N75" s="87"/>
      <c r="O75" s="87"/>
      <c r="P75" s="87"/>
    </row>
    <row r="76" spans="1:16" s="69" customFormat="1" x14ac:dyDescent="0.25">
      <c r="A76" s="56">
        <v>59</v>
      </c>
      <c r="B76" s="55" t="s">
        <v>245</v>
      </c>
      <c r="C76" s="83">
        <v>400</v>
      </c>
      <c r="D76" s="334">
        <v>1233.5</v>
      </c>
      <c r="E76" s="335">
        <v>1500</v>
      </c>
      <c r="F76" s="300"/>
      <c r="G76" s="336">
        <v>1407.7</v>
      </c>
      <c r="H76" s="337"/>
      <c r="I76" s="62"/>
      <c r="J76" s="87"/>
      <c r="K76" s="159"/>
      <c r="L76" s="87"/>
      <c r="M76" s="87"/>
      <c r="N76" s="87"/>
      <c r="O76" s="87"/>
      <c r="P76" s="87"/>
    </row>
    <row r="77" spans="1:16" s="69" customFormat="1" x14ac:dyDescent="0.25">
      <c r="A77" s="56">
        <v>60</v>
      </c>
      <c r="B77" s="55" t="s">
        <v>246</v>
      </c>
      <c r="C77" s="83">
        <v>500</v>
      </c>
      <c r="D77" s="334">
        <v>112.1</v>
      </c>
      <c r="E77" s="335">
        <v>1400</v>
      </c>
      <c r="F77" s="300"/>
      <c r="G77" s="336">
        <v>1594.6</v>
      </c>
      <c r="H77" s="337"/>
      <c r="I77" s="62"/>
      <c r="J77" s="87"/>
      <c r="K77" s="159"/>
      <c r="L77" s="87"/>
      <c r="M77" s="87"/>
      <c r="N77" s="87"/>
      <c r="O77" s="87"/>
      <c r="P77" s="87"/>
    </row>
    <row r="78" spans="1:16" s="69" customFormat="1" x14ac:dyDescent="0.25">
      <c r="A78" s="56">
        <v>61</v>
      </c>
      <c r="B78" s="57" t="s">
        <v>247</v>
      </c>
      <c r="C78" s="58">
        <v>510</v>
      </c>
      <c r="D78" s="223" t="s">
        <v>466</v>
      </c>
      <c r="E78" s="285" t="s">
        <v>466</v>
      </c>
      <c r="F78" s="272"/>
      <c r="G78" s="309" t="s">
        <v>466</v>
      </c>
      <c r="H78" s="307"/>
      <c r="I78" s="62"/>
      <c r="J78" s="87"/>
      <c r="K78" s="159"/>
      <c r="L78" s="87"/>
      <c r="M78" s="87"/>
      <c r="N78" s="87"/>
      <c r="O78" s="87"/>
      <c r="P78" s="87"/>
    </row>
    <row r="79" spans="1:16" s="69" customFormat="1" x14ac:dyDescent="0.25">
      <c r="A79" s="56">
        <v>62</v>
      </c>
      <c r="B79" s="251" t="s">
        <v>248</v>
      </c>
      <c r="C79" s="248"/>
      <c r="D79" s="75"/>
      <c r="E79" s="316"/>
      <c r="F79" s="272"/>
      <c r="G79" s="317"/>
      <c r="H79" s="318"/>
      <c r="I79" s="62"/>
      <c r="J79" s="87"/>
      <c r="K79" s="159"/>
      <c r="L79" s="87"/>
      <c r="M79" s="87"/>
      <c r="N79" s="87"/>
      <c r="O79" s="87"/>
      <c r="P79" s="87"/>
    </row>
    <row r="80" spans="1:16" s="69" customFormat="1" x14ac:dyDescent="0.25">
      <c r="A80" s="56">
        <v>63</v>
      </c>
      <c r="B80" s="57" t="s">
        <v>254</v>
      </c>
      <c r="C80" s="58">
        <v>600</v>
      </c>
      <c r="D80" s="228">
        <v>11</v>
      </c>
      <c r="E80" s="290">
        <v>10</v>
      </c>
      <c r="F80" s="300"/>
      <c r="G80" s="283">
        <v>10</v>
      </c>
      <c r="H80" s="289"/>
      <c r="I80" s="62"/>
      <c r="J80" s="87"/>
      <c r="K80" s="159"/>
      <c r="L80" s="87"/>
      <c r="M80" s="87"/>
      <c r="N80" s="87"/>
      <c r="O80" s="87"/>
      <c r="P80" s="87"/>
    </row>
    <row r="81" spans="1:16" s="69" customFormat="1" x14ac:dyDescent="0.25">
      <c r="A81" s="56">
        <v>64</v>
      </c>
      <c r="B81" s="57" t="s">
        <v>255</v>
      </c>
      <c r="C81" s="58">
        <v>610</v>
      </c>
      <c r="D81" s="228">
        <v>438.7</v>
      </c>
      <c r="E81" s="290">
        <v>704.1</v>
      </c>
      <c r="F81" s="300"/>
      <c r="G81" s="283">
        <v>704.1</v>
      </c>
      <c r="H81" s="289"/>
      <c r="I81" s="62"/>
      <c r="J81" s="87"/>
      <c r="K81" s="159"/>
      <c r="L81" s="87"/>
      <c r="M81" s="87"/>
      <c r="N81" s="87"/>
      <c r="O81" s="87"/>
      <c r="P81" s="87"/>
    </row>
    <row r="82" spans="1:16" s="69" customFormat="1" ht="25.5" customHeight="1" x14ac:dyDescent="0.25">
      <c r="A82" s="56">
        <v>65</v>
      </c>
      <c r="B82" s="57" t="s">
        <v>256</v>
      </c>
      <c r="C82" s="58">
        <v>620</v>
      </c>
      <c r="D82" s="228">
        <v>55.3</v>
      </c>
      <c r="E82" s="290" t="s">
        <v>466</v>
      </c>
      <c r="F82" s="290"/>
      <c r="G82" s="283">
        <v>99.9</v>
      </c>
      <c r="H82" s="289"/>
      <c r="I82" s="62"/>
      <c r="J82" s="87"/>
      <c r="K82" s="159"/>
      <c r="L82" s="87"/>
      <c r="M82" s="87"/>
      <c r="N82" s="87"/>
      <c r="O82" s="87"/>
      <c r="P82" s="87"/>
    </row>
    <row r="83" spans="1:16" s="69" customFormat="1" x14ac:dyDescent="0.25">
      <c r="A83" s="56">
        <v>66</v>
      </c>
      <c r="B83" s="57" t="s">
        <v>257</v>
      </c>
      <c r="C83" s="58">
        <v>630</v>
      </c>
      <c r="D83" s="59" t="s">
        <v>466</v>
      </c>
      <c r="E83" s="310" t="s">
        <v>466</v>
      </c>
      <c r="F83" s="312"/>
      <c r="G83" s="310" t="s">
        <v>466</v>
      </c>
      <c r="H83" s="312"/>
      <c r="I83" s="62"/>
      <c r="J83" s="87"/>
      <c r="K83" s="159"/>
      <c r="L83" s="87"/>
      <c r="M83" s="87"/>
      <c r="N83" s="87"/>
      <c r="O83" s="87"/>
      <c r="P83" s="87"/>
    </row>
    <row r="84" spans="1:16" s="69" customFormat="1" x14ac:dyDescent="0.25">
      <c r="A84" s="56">
        <v>67</v>
      </c>
      <c r="B84" s="41"/>
      <c r="C84" s="88"/>
      <c r="D84" s="89"/>
      <c r="E84" s="89"/>
      <c r="F84" s="89"/>
      <c r="G84" s="89"/>
      <c r="H84" s="89"/>
      <c r="I84" s="62"/>
      <c r="J84" s="87"/>
      <c r="K84" s="159"/>
      <c r="L84" s="87"/>
      <c r="M84" s="87"/>
      <c r="N84" s="87"/>
      <c r="O84" s="87"/>
      <c r="P84" s="87"/>
    </row>
    <row r="85" spans="1:16" s="69" customFormat="1" x14ac:dyDescent="0.25">
      <c r="A85" s="56">
        <v>68</v>
      </c>
      <c r="B85" s="41"/>
      <c r="C85" s="38"/>
      <c r="D85" s="90"/>
      <c r="E85" s="91"/>
      <c r="F85" s="91"/>
      <c r="G85" s="91"/>
      <c r="H85" s="91"/>
      <c r="I85" s="62"/>
      <c r="J85" s="87"/>
      <c r="K85" s="159"/>
      <c r="L85" s="87"/>
      <c r="M85" s="87"/>
      <c r="N85" s="87"/>
      <c r="O85" s="87"/>
      <c r="P85" s="87"/>
    </row>
    <row r="86" spans="1:16" s="69" customFormat="1" x14ac:dyDescent="0.25">
      <c r="A86" s="56">
        <v>69</v>
      </c>
      <c r="B86" s="331" t="s">
        <v>477</v>
      </c>
      <c r="C86" s="262" t="s">
        <v>258</v>
      </c>
      <c r="D86" s="280"/>
      <c r="E86" s="220"/>
      <c r="F86" s="330" t="s">
        <v>472</v>
      </c>
      <c r="G86" s="330"/>
      <c r="H86" s="221"/>
      <c r="I86" s="62"/>
      <c r="J86" s="87"/>
      <c r="K86" s="159"/>
      <c r="L86" s="87"/>
      <c r="M86" s="87"/>
      <c r="N86" s="87"/>
      <c r="O86" s="87"/>
      <c r="P86" s="87"/>
    </row>
    <row r="87" spans="1:16" x14ac:dyDescent="0.25">
      <c r="A87" s="56">
        <v>70</v>
      </c>
      <c r="B87" s="94" t="s">
        <v>260</v>
      </c>
      <c r="C87" s="94" t="s">
        <v>261</v>
      </c>
      <c r="D87" s="97"/>
      <c r="E87" s="94"/>
      <c r="F87" s="222" t="s">
        <v>262</v>
      </c>
      <c r="G87" s="96"/>
      <c r="H87" s="97"/>
      <c r="I87" s="62"/>
      <c r="J87" s="87"/>
      <c r="K87" s="159"/>
      <c r="L87" s="87"/>
      <c r="M87" s="87"/>
      <c r="N87" s="87"/>
      <c r="O87" s="87"/>
      <c r="P87" s="87"/>
    </row>
    <row r="88" spans="1:16" x14ac:dyDescent="0.25">
      <c r="A88" s="56">
        <v>71</v>
      </c>
      <c r="B88" s="41"/>
      <c r="D88" s="90"/>
      <c r="E88" s="91"/>
      <c r="F88" s="91"/>
      <c r="G88" s="91"/>
      <c r="H88" s="91"/>
      <c r="I88" s="62"/>
      <c r="J88" s="87"/>
      <c r="K88" s="159"/>
      <c r="L88" s="87"/>
      <c r="M88" s="87"/>
      <c r="N88" s="87"/>
      <c r="O88" s="87"/>
      <c r="P88" s="87"/>
    </row>
    <row r="89" spans="1:16" x14ac:dyDescent="0.25">
      <c r="A89" s="56">
        <v>72</v>
      </c>
      <c r="B89" s="41"/>
      <c r="D89" s="90"/>
      <c r="E89" s="91"/>
      <c r="F89" s="91"/>
      <c r="G89" s="91"/>
      <c r="H89" s="91"/>
      <c r="I89" s="62"/>
      <c r="J89" s="87"/>
      <c r="K89" s="159"/>
      <c r="L89" s="87"/>
      <c r="M89" s="87"/>
      <c r="N89" s="87"/>
      <c r="O89" s="87"/>
      <c r="P89" s="87"/>
    </row>
    <row r="90" spans="1:16" x14ac:dyDescent="0.25">
      <c r="A90" s="56">
        <v>73</v>
      </c>
      <c r="B90" s="41"/>
      <c r="D90" s="90"/>
      <c r="E90" s="91"/>
      <c r="F90" s="91"/>
      <c r="G90" s="91"/>
      <c r="H90" s="91"/>
      <c r="I90" s="87"/>
      <c r="J90" s="87"/>
      <c r="K90" s="159"/>
      <c r="L90" s="87"/>
      <c r="M90" s="87"/>
      <c r="N90" s="87"/>
      <c r="O90" s="87"/>
      <c r="P90" s="87"/>
    </row>
    <row r="91" spans="1:16" x14ac:dyDescent="0.25">
      <c r="A91" s="56">
        <v>74</v>
      </c>
      <c r="B91" s="41"/>
      <c r="D91" s="90"/>
      <c r="E91" s="91"/>
      <c r="F91" s="91"/>
      <c r="G91" s="91"/>
      <c r="H91" s="91"/>
      <c r="I91" s="87"/>
      <c r="J91" s="87"/>
      <c r="K91" s="159"/>
      <c r="L91" s="87"/>
      <c r="M91" s="87"/>
      <c r="N91" s="87"/>
      <c r="O91" s="87"/>
      <c r="P91" s="87"/>
    </row>
    <row r="92" spans="1:16" x14ac:dyDescent="0.25">
      <c r="A92" s="56">
        <v>75</v>
      </c>
      <c r="B92" s="41"/>
      <c r="D92" s="90"/>
      <c r="E92" s="91"/>
      <c r="F92" s="91"/>
      <c r="G92" s="91"/>
      <c r="H92" s="91"/>
      <c r="I92" s="87"/>
      <c r="J92" s="87"/>
      <c r="K92" s="159"/>
      <c r="L92" s="87"/>
      <c r="M92" s="87"/>
      <c r="N92" s="87"/>
      <c r="O92" s="87"/>
      <c r="P92" s="87"/>
    </row>
    <row r="93" spans="1:16" x14ac:dyDescent="0.25">
      <c r="A93" s="56">
        <v>76</v>
      </c>
      <c r="B93" s="41"/>
      <c r="D93" s="90"/>
      <c r="E93" s="91"/>
      <c r="F93" s="91"/>
      <c r="G93" s="91"/>
      <c r="H93" s="91"/>
      <c r="I93" s="87"/>
      <c r="J93" s="87"/>
      <c r="K93" s="159"/>
      <c r="L93" s="87"/>
      <c r="M93" s="87"/>
      <c r="N93" s="87"/>
      <c r="O93" s="87"/>
      <c r="P93" s="87"/>
    </row>
    <row r="94" spans="1:16" x14ac:dyDescent="0.25">
      <c r="A94" s="56">
        <v>77</v>
      </c>
      <c r="B94" s="41"/>
      <c r="D94" s="90"/>
      <c r="E94" s="91"/>
      <c r="F94" s="91"/>
      <c r="G94" s="91"/>
      <c r="H94" s="91"/>
      <c r="I94" s="87"/>
      <c r="J94" s="87"/>
      <c r="K94" s="159"/>
      <c r="L94" s="87"/>
      <c r="M94" s="87"/>
      <c r="N94" s="87"/>
      <c r="O94" s="87"/>
      <c r="P94" s="87"/>
    </row>
    <row r="95" spans="1:16" x14ac:dyDescent="0.25">
      <c r="B95" s="41"/>
      <c r="D95" s="90"/>
      <c r="E95" s="91"/>
      <c r="F95" s="91"/>
      <c r="G95" s="91"/>
      <c r="H95" s="91"/>
      <c r="I95" s="87"/>
      <c r="J95" s="87"/>
      <c r="K95" s="159"/>
      <c r="L95" s="87"/>
      <c r="M95" s="87"/>
      <c r="N95" s="87"/>
      <c r="O95" s="87"/>
      <c r="P95" s="87"/>
    </row>
    <row r="96" spans="1:16" x14ac:dyDescent="0.25">
      <c r="B96" s="41"/>
      <c r="D96" s="90"/>
      <c r="E96" s="91"/>
      <c r="F96" s="91"/>
      <c r="G96" s="91"/>
      <c r="H96" s="91"/>
    </row>
    <row r="97" spans="2:11" x14ac:dyDescent="0.25">
      <c r="B97" s="41"/>
      <c r="D97" s="90"/>
      <c r="E97" s="91"/>
      <c r="F97" s="91"/>
      <c r="G97" s="91"/>
      <c r="H97" s="91"/>
    </row>
    <row r="98" spans="2:11" s="97" customFormat="1" x14ac:dyDescent="0.25">
      <c r="B98" s="41"/>
      <c r="C98" s="38"/>
      <c r="D98" s="90"/>
      <c r="E98" s="91"/>
      <c r="F98" s="91"/>
      <c r="G98" s="91"/>
      <c r="H98" s="91"/>
      <c r="K98" s="160"/>
    </row>
    <row r="99" spans="2:11" x14ac:dyDescent="0.25">
      <c r="B99" s="41"/>
      <c r="D99" s="90"/>
      <c r="E99" s="91"/>
      <c r="F99" s="91"/>
      <c r="G99" s="91"/>
      <c r="H99" s="91"/>
    </row>
    <row r="100" spans="2:11" x14ac:dyDescent="0.25">
      <c r="B100" s="41"/>
      <c r="D100" s="90"/>
      <c r="E100" s="91"/>
      <c r="F100" s="91"/>
      <c r="G100" s="91"/>
      <c r="H100" s="91"/>
    </row>
    <row r="101" spans="2:11" x14ac:dyDescent="0.25">
      <c r="B101" s="41"/>
      <c r="D101" s="90"/>
      <c r="E101" s="91"/>
      <c r="F101" s="91"/>
      <c r="G101" s="91"/>
      <c r="H101" s="91"/>
    </row>
    <row r="102" spans="2:11" x14ac:dyDescent="0.25">
      <c r="B102" s="41"/>
      <c r="D102" s="90"/>
      <c r="E102" s="91"/>
      <c r="F102" s="91"/>
      <c r="G102" s="91"/>
      <c r="H102" s="91"/>
    </row>
    <row r="103" spans="2:11" x14ac:dyDescent="0.25">
      <c r="B103" s="41"/>
      <c r="D103" s="90"/>
      <c r="E103" s="91"/>
      <c r="F103" s="91"/>
      <c r="G103" s="91"/>
      <c r="H103" s="91"/>
    </row>
    <row r="104" spans="2:11" x14ac:dyDescent="0.25">
      <c r="B104" s="41"/>
      <c r="D104" s="90"/>
      <c r="E104" s="91"/>
      <c r="F104" s="91"/>
      <c r="G104" s="91"/>
      <c r="H104" s="91"/>
    </row>
    <row r="105" spans="2:11" x14ac:dyDescent="0.25">
      <c r="B105" s="41"/>
      <c r="D105" s="90"/>
      <c r="E105" s="91"/>
      <c r="F105" s="91"/>
      <c r="G105" s="91"/>
      <c r="H105" s="91"/>
    </row>
    <row r="106" spans="2:11" x14ac:dyDescent="0.25">
      <c r="B106" s="41"/>
      <c r="D106" s="90"/>
      <c r="E106" s="91"/>
      <c r="F106" s="91"/>
      <c r="G106" s="91"/>
      <c r="H106" s="91"/>
    </row>
    <row r="107" spans="2:11" x14ac:dyDescent="0.25">
      <c r="B107" s="41"/>
      <c r="D107" s="90"/>
      <c r="E107" s="91"/>
      <c r="F107" s="91"/>
      <c r="G107" s="91"/>
      <c r="H107" s="91"/>
    </row>
    <row r="108" spans="2:11" x14ac:dyDescent="0.25">
      <c r="B108" s="41"/>
      <c r="D108" s="90"/>
      <c r="E108" s="91"/>
      <c r="F108" s="91"/>
      <c r="G108" s="91"/>
      <c r="H108" s="91"/>
    </row>
    <row r="109" spans="2:11" x14ac:dyDescent="0.25">
      <c r="B109" s="41"/>
      <c r="D109" s="90"/>
      <c r="E109" s="91"/>
      <c r="F109" s="91"/>
      <c r="G109" s="91"/>
      <c r="H109" s="91"/>
    </row>
    <row r="110" spans="2:11" x14ac:dyDescent="0.25">
      <c r="B110" s="41"/>
      <c r="D110" s="90"/>
      <c r="E110" s="91"/>
      <c r="F110" s="91"/>
      <c r="G110" s="91"/>
      <c r="H110" s="91"/>
    </row>
    <row r="111" spans="2:11" x14ac:dyDescent="0.25">
      <c r="B111" s="41"/>
      <c r="D111" s="90"/>
      <c r="E111" s="91"/>
      <c r="F111" s="91"/>
      <c r="G111" s="91"/>
      <c r="H111" s="91"/>
    </row>
    <row r="112" spans="2:11" x14ac:dyDescent="0.25">
      <c r="B112" s="41"/>
      <c r="D112" s="90"/>
      <c r="E112" s="91"/>
      <c r="F112" s="91"/>
      <c r="G112" s="91"/>
      <c r="H112" s="91"/>
    </row>
    <row r="113" spans="2:8" x14ac:dyDescent="0.25">
      <c r="B113" s="41"/>
      <c r="D113" s="90"/>
      <c r="E113" s="91"/>
      <c r="F113" s="91"/>
      <c r="G113" s="91"/>
      <c r="H113" s="91"/>
    </row>
    <row r="114" spans="2:8" x14ac:dyDescent="0.25">
      <c r="B114" s="41"/>
      <c r="D114" s="90"/>
      <c r="E114" s="91"/>
      <c r="F114" s="91"/>
      <c r="G114" s="91"/>
      <c r="H114" s="91"/>
    </row>
    <row r="115" spans="2:8" x14ac:dyDescent="0.25">
      <c r="B115" s="41"/>
      <c r="D115" s="90"/>
      <c r="E115" s="91"/>
      <c r="F115" s="91"/>
      <c r="G115" s="91"/>
      <c r="H115" s="91"/>
    </row>
    <row r="116" spans="2:8" x14ac:dyDescent="0.25">
      <c r="B116" s="41"/>
      <c r="D116" s="90"/>
      <c r="E116" s="91"/>
      <c r="F116" s="91"/>
      <c r="G116" s="91"/>
      <c r="H116" s="91"/>
    </row>
    <row r="117" spans="2:8" x14ac:dyDescent="0.25">
      <c r="B117" s="41"/>
      <c r="D117" s="90"/>
      <c r="E117" s="91"/>
      <c r="F117" s="91"/>
      <c r="G117" s="91"/>
      <c r="H117" s="91"/>
    </row>
    <row r="118" spans="2:8" x14ac:dyDescent="0.25">
      <c r="B118" s="41"/>
      <c r="D118" s="90"/>
      <c r="E118" s="91"/>
      <c r="F118" s="91"/>
      <c r="G118" s="91"/>
      <c r="H118" s="91"/>
    </row>
    <row r="119" spans="2:8" x14ac:dyDescent="0.25">
      <c r="B119" s="41"/>
      <c r="D119" s="90"/>
      <c r="E119" s="91"/>
      <c r="F119" s="91"/>
      <c r="G119" s="91"/>
      <c r="H119" s="91"/>
    </row>
    <row r="120" spans="2:8" x14ac:dyDescent="0.25">
      <c r="B120" s="41"/>
      <c r="D120" s="90"/>
      <c r="E120" s="91"/>
      <c r="F120" s="91"/>
      <c r="G120" s="91"/>
      <c r="H120" s="91"/>
    </row>
    <row r="121" spans="2:8" x14ac:dyDescent="0.25">
      <c r="B121" s="41"/>
      <c r="D121" s="90"/>
      <c r="E121" s="91"/>
      <c r="F121" s="91"/>
      <c r="G121" s="91"/>
      <c r="H121" s="91"/>
    </row>
    <row r="122" spans="2:8" x14ac:dyDescent="0.25">
      <c r="B122" s="41"/>
      <c r="D122" s="90"/>
      <c r="E122" s="91"/>
      <c r="F122" s="91"/>
      <c r="G122" s="91"/>
      <c r="H122" s="91"/>
    </row>
    <row r="123" spans="2:8" x14ac:dyDescent="0.25">
      <c r="B123" s="41"/>
      <c r="D123" s="90"/>
      <c r="E123" s="91"/>
      <c r="F123" s="91"/>
      <c r="G123" s="91"/>
      <c r="H123" s="91"/>
    </row>
    <row r="124" spans="2:8" x14ac:dyDescent="0.25">
      <c r="B124" s="41"/>
      <c r="D124" s="90"/>
      <c r="E124" s="91"/>
      <c r="F124" s="91"/>
      <c r="G124" s="91"/>
      <c r="H124" s="91"/>
    </row>
    <row r="125" spans="2:8" x14ac:dyDescent="0.25">
      <c r="B125" s="41"/>
      <c r="D125" s="90"/>
      <c r="E125" s="91"/>
      <c r="F125" s="91"/>
      <c r="G125" s="91"/>
      <c r="H125" s="91"/>
    </row>
    <row r="126" spans="2:8" x14ac:dyDescent="0.25">
      <c r="B126" s="41"/>
      <c r="D126" s="90"/>
      <c r="E126" s="91"/>
      <c r="F126" s="91"/>
      <c r="G126" s="91"/>
      <c r="H126" s="91"/>
    </row>
    <row r="127" spans="2:8" x14ac:dyDescent="0.25">
      <c r="B127" s="41"/>
      <c r="D127" s="90"/>
      <c r="E127" s="91"/>
      <c r="F127" s="91"/>
      <c r="G127" s="91"/>
      <c r="H127" s="91"/>
    </row>
    <row r="128" spans="2:8" x14ac:dyDescent="0.25">
      <c r="B128" s="41"/>
      <c r="D128" s="90"/>
      <c r="E128" s="91"/>
      <c r="F128" s="91"/>
      <c r="G128" s="91"/>
      <c r="H128" s="91"/>
    </row>
    <row r="129" spans="2:11" x14ac:dyDescent="0.25">
      <c r="B129" s="98"/>
    </row>
    <row r="130" spans="2:11" x14ac:dyDescent="0.25">
      <c r="B130" s="98"/>
    </row>
    <row r="131" spans="2:11" x14ac:dyDescent="0.25">
      <c r="B131" s="98"/>
    </row>
    <row r="132" spans="2:11" x14ac:dyDescent="0.25">
      <c r="B132" s="98"/>
    </row>
    <row r="133" spans="2:11" x14ac:dyDescent="0.25">
      <c r="B133" s="98"/>
      <c r="F133" s="38"/>
      <c r="G133" s="38"/>
      <c r="H133" s="38"/>
    </row>
    <row r="134" spans="2:11" x14ac:dyDescent="0.25">
      <c r="B134" s="98"/>
      <c r="F134" s="38"/>
      <c r="G134" s="38"/>
      <c r="H134" s="38"/>
    </row>
    <row r="135" spans="2:11" x14ac:dyDescent="0.25">
      <c r="B135" s="98"/>
      <c r="F135" s="38"/>
      <c r="G135" s="38"/>
      <c r="H135" s="38"/>
    </row>
    <row r="136" spans="2:11" x14ac:dyDescent="0.25">
      <c r="B136" s="98"/>
      <c r="F136" s="38"/>
      <c r="G136" s="38"/>
      <c r="H136" s="38"/>
    </row>
    <row r="137" spans="2:11" x14ac:dyDescent="0.25">
      <c r="B137" s="98"/>
      <c r="F137" s="38"/>
      <c r="G137" s="38"/>
      <c r="H137" s="38"/>
    </row>
    <row r="138" spans="2:11" x14ac:dyDescent="0.25">
      <c r="B138" s="98"/>
      <c r="F138" s="38"/>
      <c r="G138" s="38"/>
      <c r="H138" s="38"/>
    </row>
    <row r="139" spans="2:11" x14ac:dyDescent="0.25">
      <c r="B139" s="98"/>
      <c r="F139" s="38"/>
      <c r="G139" s="38"/>
      <c r="H139" s="38"/>
    </row>
    <row r="140" spans="2:11" x14ac:dyDescent="0.25">
      <c r="B140" s="98"/>
      <c r="F140" s="38"/>
      <c r="G140" s="38"/>
      <c r="H140" s="38"/>
    </row>
    <row r="141" spans="2:11" x14ac:dyDescent="0.25">
      <c r="B141" s="98"/>
      <c r="F141" s="38"/>
      <c r="G141" s="38"/>
      <c r="H141" s="38"/>
    </row>
    <row r="142" spans="2:11" x14ac:dyDescent="0.25">
      <c r="B142" s="98"/>
      <c r="F142" s="38"/>
      <c r="G142" s="38"/>
      <c r="H142" s="38"/>
    </row>
    <row r="143" spans="2:11" x14ac:dyDescent="0.25">
      <c r="B143" s="98"/>
      <c r="F143" s="38"/>
      <c r="G143" s="38"/>
      <c r="H143" s="38"/>
    </row>
    <row r="144" spans="2:11" s="38" customFormat="1" x14ac:dyDescent="0.25">
      <c r="B144" s="98"/>
      <c r="K144" s="158"/>
    </row>
    <row r="145" spans="2:11" s="38" customFormat="1" x14ac:dyDescent="0.25">
      <c r="B145" s="98"/>
      <c r="K145" s="158"/>
    </row>
    <row r="146" spans="2:11" s="38" customFormat="1" x14ac:dyDescent="0.25">
      <c r="B146" s="98"/>
      <c r="K146" s="158"/>
    </row>
    <row r="147" spans="2:11" s="38" customFormat="1" x14ac:dyDescent="0.25">
      <c r="B147" s="98"/>
      <c r="K147" s="158"/>
    </row>
    <row r="148" spans="2:11" s="38" customFormat="1" x14ac:dyDescent="0.25">
      <c r="B148" s="98"/>
      <c r="K148" s="158"/>
    </row>
    <row r="149" spans="2:11" s="38" customFormat="1" x14ac:dyDescent="0.25">
      <c r="B149" s="98"/>
      <c r="K149" s="158"/>
    </row>
    <row r="150" spans="2:11" s="38" customFormat="1" x14ac:dyDescent="0.25">
      <c r="B150" s="98"/>
      <c r="K150" s="158"/>
    </row>
    <row r="151" spans="2:11" s="38" customFormat="1" x14ac:dyDescent="0.25">
      <c r="B151" s="98"/>
      <c r="K151" s="158"/>
    </row>
    <row r="152" spans="2:11" s="38" customFormat="1" x14ac:dyDescent="0.25">
      <c r="B152" s="98"/>
      <c r="K152" s="158"/>
    </row>
    <row r="153" spans="2:11" s="38" customFormat="1" x14ac:dyDescent="0.25">
      <c r="B153" s="98"/>
      <c r="K153" s="158"/>
    </row>
    <row r="154" spans="2:11" s="38" customFormat="1" x14ac:dyDescent="0.25">
      <c r="B154" s="98"/>
      <c r="K154" s="158"/>
    </row>
    <row r="155" spans="2:11" s="38" customFormat="1" x14ac:dyDescent="0.25">
      <c r="B155" s="98"/>
      <c r="K155" s="158"/>
    </row>
    <row r="156" spans="2:11" s="38" customFormat="1" x14ac:dyDescent="0.25">
      <c r="B156" s="98"/>
      <c r="K156" s="158"/>
    </row>
    <row r="157" spans="2:11" s="38" customFormat="1" x14ac:dyDescent="0.25">
      <c r="B157" s="98"/>
      <c r="K157" s="158"/>
    </row>
    <row r="158" spans="2:11" s="38" customFormat="1" x14ac:dyDescent="0.25">
      <c r="B158" s="98"/>
      <c r="K158" s="158"/>
    </row>
    <row r="159" spans="2:11" s="38" customFormat="1" x14ac:dyDescent="0.25">
      <c r="B159" s="98"/>
      <c r="K159" s="158"/>
    </row>
    <row r="160" spans="2:11" s="38" customFormat="1" x14ac:dyDescent="0.25">
      <c r="B160" s="98"/>
      <c r="K160" s="158"/>
    </row>
    <row r="161" spans="2:11" s="38" customFormat="1" x14ac:dyDescent="0.25">
      <c r="B161" s="98"/>
      <c r="K161" s="158"/>
    </row>
    <row r="162" spans="2:11" s="38" customFormat="1" x14ac:dyDescent="0.25">
      <c r="B162" s="98"/>
      <c r="K162" s="158"/>
    </row>
    <row r="163" spans="2:11" s="38" customFormat="1" x14ac:dyDescent="0.25">
      <c r="B163" s="98"/>
      <c r="K163" s="158"/>
    </row>
    <row r="164" spans="2:11" s="38" customFormat="1" x14ac:dyDescent="0.25">
      <c r="B164" s="98"/>
      <c r="K164" s="158"/>
    </row>
    <row r="165" spans="2:11" s="38" customFormat="1" x14ac:dyDescent="0.25">
      <c r="B165" s="98"/>
      <c r="K165" s="158"/>
    </row>
    <row r="166" spans="2:11" s="38" customFormat="1" x14ac:dyDescent="0.25">
      <c r="B166" s="98"/>
      <c r="K166" s="158"/>
    </row>
    <row r="167" spans="2:11" s="38" customFormat="1" x14ac:dyDescent="0.25">
      <c r="B167" s="98"/>
      <c r="K167" s="158"/>
    </row>
    <row r="168" spans="2:11" s="38" customFormat="1" x14ac:dyDescent="0.25">
      <c r="B168" s="98"/>
      <c r="K168" s="158"/>
    </row>
    <row r="169" spans="2:11" s="38" customFormat="1" x14ac:dyDescent="0.25">
      <c r="B169" s="98"/>
      <c r="K169" s="158"/>
    </row>
    <row r="170" spans="2:11" s="38" customFormat="1" x14ac:dyDescent="0.25">
      <c r="B170" s="98"/>
      <c r="K170" s="158"/>
    </row>
    <row r="171" spans="2:11" s="38" customFormat="1" x14ac:dyDescent="0.25">
      <c r="B171" s="98"/>
      <c r="K171" s="158"/>
    </row>
    <row r="172" spans="2:11" s="38" customFormat="1" x14ac:dyDescent="0.25">
      <c r="B172" s="98"/>
      <c r="K172" s="158"/>
    </row>
    <row r="173" spans="2:11" s="38" customFormat="1" x14ac:dyDescent="0.25">
      <c r="B173" s="98"/>
      <c r="K173" s="158"/>
    </row>
    <row r="174" spans="2:11" s="38" customFormat="1" x14ac:dyDescent="0.25">
      <c r="B174" s="98"/>
      <c r="K174" s="158"/>
    </row>
    <row r="175" spans="2:11" s="38" customFormat="1" x14ac:dyDescent="0.25">
      <c r="B175" s="98"/>
      <c r="K175" s="158"/>
    </row>
    <row r="176" spans="2:11" s="38" customFormat="1" x14ac:dyDescent="0.25">
      <c r="B176" s="98"/>
      <c r="K176" s="158"/>
    </row>
    <row r="177" spans="2:11" s="38" customFormat="1" x14ac:dyDescent="0.25">
      <c r="B177" s="98"/>
      <c r="K177" s="158"/>
    </row>
    <row r="178" spans="2:11" s="38" customFormat="1" x14ac:dyDescent="0.25">
      <c r="B178" s="98"/>
      <c r="K178" s="158"/>
    </row>
    <row r="179" spans="2:11" s="38" customFormat="1" x14ac:dyDescent="0.25">
      <c r="B179" s="98"/>
      <c r="K179" s="158"/>
    </row>
    <row r="180" spans="2:11" s="38" customFormat="1" x14ac:dyDescent="0.25">
      <c r="B180" s="98"/>
      <c r="K180" s="158"/>
    </row>
    <row r="181" spans="2:11" s="38" customFormat="1" x14ac:dyDescent="0.25">
      <c r="B181" s="98"/>
      <c r="K181" s="158"/>
    </row>
    <row r="182" spans="2:11" s="38" customFormat="1" x14ac:dyDescent="0.25">
      <c r="B182" s="98"/>
      <c r="K182" s="158"/>
    </row>
    <row r="183" spans="2:11" s="38" customFormat="1" x14ac:dyDescent="0.25">
      <c r="B183" s="98"/>
      <c r="K183" s="158"/>
    </row>
    <row r="184" spans="2:11" s="38" customFormat="1" x14ac:dyDescent="0.25">
      <c r="B184" s="98"/>
      <c r="K184" s="158"/>
    </row>
    <row r="185" spans="2:11" s="38" customFormat="1" x14ac:dyDescent="0.25">
      <c r="B185" s="98"/>
      <c r="K185" s="158"/>
    </row>
    <row r="186" spans="2:11" s="38" customFormat="1" x14ac:dyDescent="0.25">
      <c r="B186" s="98"/>
      <c r="K186" s="158"/>
    </row>
    <row r="187" spans="2:11" s="38" customFormat="1" x14ac:dyDescent="0.25">
      <c r="B187" s="98"/>
      <c r="K187" s="158"/>
    </row>
    <row r="188" spans="2:11" s="38" customFormat="1" x14ac:dyDescent="0.25">
      <c r="B188" s="98"/>
      <c r="K188" s="158"/>
    </row>
    <row r="189" spans="2:11" s="38" customFormat="1" x14ac:dyDescent="0.25">
      <c r="B189" s="98"/>
      <c r="K189" s="158"/>
    </row>
    <row r="190" spans="2:11" s="38" customFormat="1" x14ac:dyDescent="0.25">
      <c r="B190" s="98"/>
      <c r="K190" s="158"/>
    </row>
    <row r="191" spans="2:11" s="38" customFormat="1" x14ac:dyDescent="0.25">
      <c r="B191" s="98"/>
      <c r="K191" s="158"/>
    </row>
    <row r="192" spans="2:11" s="38" customFormat="1" x14ac:dyDescent="0.25">
      <c r="B192" s="98"/>
      <c r="K192" s="158"/>
    </row>
    <row r="193" spans="2:11" s="38" customFormat="1" x14ac:dyDescent="0.25">
      <c r="B193" s="98"/>
      <c r="K193" s="158"/>
    </row>
    <row r="194" spans="2:11" s="38" customFormat="1" x14ac:dyDescent="0.25">
      <c r="B194" s="98"/>
      <c r="K194" s="158"/>
    </row>
    <row r="195" spans="2:11" s="38" customFormat="1" x14ac:dyDescent="0.25">
      <c r="B195" s="98"/>
      <c r="K195" s="158"/>
    </row>
    <row r="196" spans="2:11" s="38" customFormat="1" x14ac:dyDescent="0.25">
      <c r="B196" s="98"/>
      <c r="K196" s="158"/>
    </row>
    <row r="197" spans="2:11" s="38" customFormat="1" x14ac:dyDescent="0.25">
      <c r="B197" s="98"/>
      <c r="K197" s="158"/>
    </row>
    <row r="198" spans="2:11" s="38" customFormat="1" x14ac:dyDescent="0.25">
      <c r="B198" s="98"/>
      <c r="K198" s="158"/>
    </row>
    <row r="199" spans="2:11" s="38" customFormat="1" x14ac:dyDescent="0.25">
      <c r="B199" s="98"/>
      <c r="K199" s="158"/>
    </row>
    <row r="200" spans="2:11" s="38" customFormat="1" x14ac:dyDescent="0.25">
      <c r="B200" s="98"/>
      <c r="K200" s="158"/>
    </row>
    <row r="201" spans="2:11" s="38" customFormat="1" x14ac:dyDescent="0.25">
      <c r="B201" s="98"/>
      <c r="K201" s="158"/>
    </row>
    <row r="202" spans="2:11" s="38" customFormat="1" x14ac:dyDescent="0.25">
      <c r="B202" s="98"/>
      <c r="K202" s="158"/>
    </row>
    <row r="203" spans="2:11" s="38" customFormat="1" x14ac:dyDescent="0.25">
      <c r="B203" s="98"/>
      <c r="K203" s="158"/>
    </row>
    <row r="204" spans="2:11" s="38" customFormat="1" x14ac:dyDescent="0.25">
      <c r="B204" s="98"/>
      <c r="K204" s="158"/>
    </row>
    <row r="205" spans="2:11" s="38" customFormat="1" x14ac:dyDescent="0.25">
      <c r="B205" s="98"/>
      <c r="K205" s="158"/>
    </row>
    <row r="206" spans="2:11" s="38" customFormat="1" x14ac:dyDescent="0.25">
      <c r="B206" s="98"/>
      <c r="K206" s="158"/>
    </row>
    <row r="207" spans="2:11" s="38" customFormat="1" x14ac:dyDescent="0.25">
      <c r="B207" s="98"/>
      <c r="K207" s="158"/>
    </row>
    <row r="208" spans="2:11" s="38" customFormat="1" x14ac:dyDescent="0.25">
      <c r="B208" s="98"/>
      <c r="K208" s="158"/>
    </row>
    <row r="209" spans="2:11" s="38" customFormat="1" x14ac:dyDescent="0.25">
      <c r="B209" s="98"/>
      <c r="K209" s="158"/>
    </row>
    <row r="210" spans="2:11" s="38" customFormat="1" x14ac:dyDescent="0.25">
      <c r="B210" s="98"/>
      <c r="K210" s="158"/>
    </row>
    <row r="211" spans="2:11" s="38" customFormat="1" x14ac:dyDescent="0.25">
      <c r="B211" s="98"/>
      <c r="K211" s="158"/>
    </row>
    <row r="212" spans="2:11" s="38" customFormat="1" x14ac:dyDescent="0.25">
      <c r="B212" s="98"/>
      <c r="K212" s="158"/>
    </row>
    <row r="213" spans="2:11" s="38" customFormat="1" x14ac:dyDescent="0.25">
      <c r="B213" s="98"/>
      <c r="K213" s="158"/>
    </row>
    <row r="214" spans="2:11" s="38" customFormat="1" x14ac:dyDescent="0.25">
      <c r="B214" s="98"/>
      <c r="K214" s="158"/>
    </row>
    <row r="215" spans="2:11" s="38" customFormat="1" x14ac:dyDescent="0.25">
      <c r="B215" s="98"/>
      <c r="K215" s="158"/>
    </row>
    <row r="216" spans="2:11" s="38" customFormat="1" x14ac:dyDescent="0.25">
      <c r="B216" s="98"/>
      <c r="K216" s="158"/>
    </row>
    <row r="217" spans="2:11" s="38" customFormat="1" x14ac:dyDescent="0.25">
      <c r="B217" s="98"/>
      <c r="K217" s="158"/>
    </row>
    <row r="218" spans="2:11" s="38" customFormat="1" x14ac:dyDescent="0.25">
      <c r="B218" s="98"/>
      <c r="K218" s="158"/>
    </row>
    <row r="219" spans="2:11" s="38" customFormat="1" x14ac:dyDescent="0.25">
      <c r="B219" s="98"/>
      <c r="K219" s="158"/>
    </row>
    <row r="220" spans="2:11" s="38" customFormat="1" x14ac:dyDescent="0.25">
      <c r="B220" s="98"/>
      <c r="K220" s="158"/>
    </row>
    <row r="221" spans="2:11" s="38" customFormat="1" x14ac:dyDescent="0.25">
      <c r="B221" s="98"/>
      <c r="K221" s="158"/>
    </row>
    <row r="222" spans="2:11" s="38" customFormat="1" x14ac:dyDescent="0.25">
      <c r="B222" s="98"/>
      <c r="K222" s="158"/>
    </row>
    <row r="223" spans="2:11" s="38" customFormat="1" x14ac:dyDescent="0.25">
      <c r="B223" s="98"/>
      <c r="K223" s="158"/>
    </row>
    <row r="224" spans="2:11" s="38" customFormat="1" x14ac:dyDescent="0.25">
      <c r="B224" s="98"/>
      <c r="K224" s="158"/>
    </row>
    <row r="225" spans="2:11" s="38" customFormat="1" x14ac:dyDescent="0.25">
      <c r="B225" s="98"/>
      <c r="K225" s="158"/>
    </row>
    <row r="226" spans="2:11" s="38" customFormat="1" x14ac:dyDescent="0.25">
      <c r="B226" s="98"/>
      <c r="K226" s="158"/>
    </row>
    <row r="227" spans="2:11" s="38" customFormat="1" x14ac:dyDescent="0.25">
      <c r="B227" s="98"/>
      <c r="K227" s="158"/>
    </row>
    <row r="228" spans="2:11" s="38" customFormat="1" x14ac:dyDescent="0.25">
      <c r="B228" s="98"/>
      <c r="K228" s="158"/>
    </row>
    <row r="229" spans="2:11" s="38" customFormat="1" x14ac:dyDescent="0.25">
      <c r="B229" s="98"/>
      <c r="K229" s="158"/>
    </row>
    <row r="230" spans="2:11" s="38" customFormat="1" x14ac:dyDescent="0.25">
      <c r="B230" s="98"/>
      <c r="K230" s="158"/>
    </row>
    <row r="231" spans="2:11" s="38" customFormat="1" x14ac:dyDescent="0.25">
      <c r="B231" s="98"/>
      <c r="K231" s="158"/>
    </row>
    <row r="232" spans="2:11" s="38" customFormat="1" x14ac:dyDescent="0.25">
      <c r="B232" s="98"/>
      <c r="K232" s="158"/>
    </row>
    <row r="233" spans="2:11" s="38" customFormat="1" x14ac:dyDescent="0.25">
      <c r="B233" s="98"/>
      <c r="K233" s="158"/>
    </row>
    <row r="234" spans="2:11" s="38" customFormat="1" x14ac:dyDescent="0.25">
      <c r="B234" s="98"/>
      <c r="K234" s="158"/>
    </row>
    <row r="235" spans="2:11" s="38" customFormat="1" x14ac:dyDescent="0.25">
      <c r="B235" s="98"/>
      <c r="K235" s="158"/>
    </row>
    <row r="236" spans="2:11" s="38" customFormat="1" x14ac:dyDescent="0.25">
      <c r="B236" s="98"/>
      <c r="K236" s="158"/>
    </row>
    <row r="237" spans="2:11" s="38" customFormat="1" x14ac:dyDescent="0.25">
      <c r="B237" s="98"/>
      <c r="K237" s="158"/>
    </row>
    <row r="238" spans="2:11" s="38" customFormat="1" x14ac:dyDescent="0.25">
      <c r="B238" s="98"/>
      <c r="K238" s="158"/>
    </row>
    <row r="239" spans="2:11" s="38" customFormat="1" x14ac:dyDescent="0.25">
      <c r="B239" s="98"/>
      <c r="K239" s="158"/>
    </row>
    <row r="240" spans="2:11" s="38" customFormat="1" x14ac:dyDescent="0.25">
      <c r="B240" s="98"/>
      <c r="K240" s="158"/>
    </row>
    <row r="241" spans="2:11" s="38" customFormat="1" x14ac:dyDescent="0.25">
      <c r="B241" s="98"/>
      <c r="K241" s="158"/>
    </row>
    <row r="242" spans="2:11" s="38" customFormat="1" x14ac:dyDescent="0.25">
      <c r="B242" s="98"/>
      <c r="K242" s="158"/>
    </row>
    <row r="243" spans="2:11" s="38" customFormat="1" x14ac:dyDescent="0.25">
      <c r="B243" s="98"/>
      <c r="K243" s="158"/>
    </row>
    <row r="244" spans="2:11" s="38" customFormat="1" x14ac:dyDescent="0.25">
      <c r="B244" s="98"/>
      <c r="K244" s="158"/>
    </row>
    <row r="245" spans="2:11" s="38" customFormat="1" x14ac:dyDescent="0.25">
      <c r="B245" s="98"/>
      <c r="K245" s="158"/>
    </row>
    <row r="246" spans="2:11" s="38" customFormat="1" x14ac:dyDescent="0.25">
      <c r="B246" s="98"/>
      <c r="K246" s="158"/>
    </row>
    <row r="247" spans="2:11" s="38" customFormat="1" x14ac:dyDescent="0.25">
      <c r="B247" s="98"/>
      <c r="K247" s="158"/>
    </row>
    <row r="248" spans="2:11" s="38" customFormat="1" x14ac:dyDescent="0.25">
      <c r="B248" s="98"/>
      <c r="K248" s="158"/>
    </row>
    <row r="249" spans="2:11" s="38" customFormat="1" x14ac:dyDescent="0.25">
      <c r="B249" s="98"/>
      <c r="K249" s="158"/>
    </row>
    <row r="250" spans="2:11" s="38" customFormat="1" x14ac:dyDescent="0.25">
      <c r="B250" s="98"/>
      <c r="K250" s="158"/>
    </row>
    <row r="251" spans="2:11" s="38" customFormat="1" x14ac:dyDescent="0.25">
      <c r="B251" s="98"/>
      <c r="K251" s="158"/>
    </row>
    <row r="252" spans="2:11" s="38" customFormat="1" x14ac:dyDescent="0.25">
      <c r="B252" s="98"/>
      <c r="K252" s="158"/>
    </row>
    <row r="253" spans="2:11" s="38" customFormat="1" x14ac:dyDescent="0.25">
      <c r="B253" s="98"/>
      <c r="K253" s="158"/>
    </row>
    <row r="254" spans="2:11" s="38" customFormat="1" x14ac:dyDescent="0.25">
      <c r="B254" s="98"/>
      <c r="K254" s="158"/>
    </row>
    <row r="255" spans="2:11" s="38" customFormat="1" x14ac:dyDescent="0.25">
      <c r="B255" s="98"/>
      <c r="K255" s="158"/>
    </row>
    <row r="256" spans="2:11" s="38" customFormat="1" x14ac:dyDescent="0.25">
      <c r="B256" s="98"/>
      <c r="K256" s="158"/>
    </row>
    <row r="257" spans="2:11" s="38" customFormat="1" x14ac:dyDescent="0.25">
      <c r="B257" s="98"/>
      <c r="K257" s="158"/>
    </row>
    <row r="258" spans="2:11" s="38" customFormat="1" x14ac:dyDescent="0.25">
      <c r="B258" s="98"/>
      <c r="K258" s="158"/>
    </row>
    <row r="259" spans="2:11" s="38" customFormat="1" x14ac:dyDescent="0.25">
      <c r="B259" s="98"/>
      <c r="K259" s="158"/>
    </row>
    <row r="260" spans="2:11" s="38" customFormat="1" x14ac:dyDescent="0.25">
      <c r="B260" s="98"/>
      <c r="K260" s="158"/>
    </row>
    <row r="261" spans="2:11" s="38" customFormat="1" x14ac:dyDescent="0.25">
      <c r="B261" s="98"/>
      <c r="K261" s="158"/>
    </row>
    <row r="262" spans="2:11" s="38" customFormat="1" x14ac:dyDescent="0.25">
      <c r="B262" s="98"/>
      <c r="K262" s="158"/>
    </row>
    <row r="263" spans="2:11" s="38" customFormat="1" x14ac:dyDescent="0.25">
      <c r="B263" s="98"/>
      <c r="K263" s="158"/>
    </row>
    <row r="264" spans="2:11" s="38" customFormat="1" x14ac:dyDescent="0.25">
      <c r="B264" s="98"/>
      <c r="K264" s="158"/>
    </row>
    <row r="265" spans="2:11" s="38" customFormat="1" x14ac:dyDescent="0.25">
      <c r="B265" s="98"/>
      <c r="K265" s="158"/>
    </row>
    <row r="266" spans="2:11" s="38" customFormat="1" x14ac:dyDescent="0.25">
      <c r="B266" s="98"/>
      <c r="K266" s="158"/>
    </row>
    <row r="267" spans="2:11" s="38" customFormat="1" x14ac:dyDescent="0.25">
      <c r="B267" s="98"/>
      <c r="K267" s="158"/>
    </row>
    <row r="268" spans="2:11" s="38" customFormat="1" x14ac:dyDescent="0.25">
      <c r="B268" s="98"/>
      <c r="K268" s="158"/>
    </row>
    <row r="269" spans="2:11" s="38" customFormat="1" x14ac:dyDescent="0.25">
      <c r="B269" s="98"/>
      <c r="K269" s="158"/>
    </row>
    <row r="270" spans="2:11" s="38" customFormat="1" x14ac:dyDescent="0.25">
      <c r="B270" s="98"/>
      <c r="K270" s="158"/>
    </row>
    <row r="271" spans="2:11" s="38" customFormat="1" x14ac:dyDescent="0.25">
      <c r="B271" s="98"/>
      <c r="K271" s="158"/>
    </row>
    <row r="272" spans="2:11" s="38" customFormat="1" x14ac:dyDescent="0.25">
      <c r="B272" s="98"/>
      <c r="K272" s="158"/>
    </row>
    <row r="273" spans="2:11" s="38" customFormat="1" x14ac:dyDescent="0.25">
      <c r="B273" s="98"/>
      <c r="K273" s="158"/>
    </row>
    <row r="274" spans="2:11" s="38" customFormat="1" x14ac:dyDescent="0.25">
      <c r="B274" s="98"/>
      <c r="K274" s="158"/>
    </row>
    <row r="275" spans="2:11" s="38" customFormat="1" x14ac:dyDescent="0.25">
      <c r="B275" s="98"/>
      <c r="K275" s="158"/>
    </row>
    <row r="276" spans="2:11" s="38" customFormat="1" x14ac:dyDescent="0.25">
      <c r="B276" s="98"/>
      <c r="K276" s="158"/>
    </row>
    <row r="277" spans="2:11" s="38" customFormat="1" x14ac:dyDescent="0.25">
      <c r="B277" s="98"/>
      <c r="K277" s="158"/>
    </row>
    <row r="278" spans="2:11" s="38" customFormat="1" x14ac:dyDescent="0.25">
      <c r="B278" s="98"/>
      <c r="K278" s="158"/>
    </row>
    <row r="279" spans="2:11" s="38" customFormat="1" x14ac:dyDescent="0.25">
      <c r="B279" s="98"/>
      <c r="K279" s="158"/>
    </row>
    <row r="280" spans="2:11" s="38" customFormat="1" x14ac:dyDescent="0.25">
      <c r="B280" s="98"/>
      <c r="K280" s="158"/>
    </row>
    <row r="281" spans="2:11" s="38" customFormat="1" x14ac:dyDescent="0.25">
      <c r="B281" s="98"/>
      <c r="K281" s="158"/>
    </row>
    <row r="282" spans="2:11" s="38" customFormat="1" x14ac:dyDescent="0.25">
      <c r="B282" s="98"/>
      <c r="K282" s="158"/>
    </row>
    <row r="283" spans="2:11" s="38" customFormat="1" x14ac:dyDescent="0.25">
      <c r="B283" s="98"/>
      <c r="K283" s="158"/>
    </row>
    <row r="284" spans="2:11" s="38" customFormat="1" x14ac:dyDescent="0.25">
      <c r="B284" s="98"/>
      <c r="K284" s="158"/>
    </row>
    <row r="285" spans="2:11" s="38" customFormat="1" x14ac:dyDescent="0.25">
      <c r="B285" s="98"/>
      <c r="K285" s="158"/>
    </row>
    <row r="286" spans="2:11" s="38" customFormat="1" x14ac:dyDescent="0.25">
      <c r="B286" s="98"/>
      <c r="K286" s="158"/>
    </row>
    <row r="287" spans="2:11" s="38" customFormat="1" x14ac:dyDescent="0.25">
      <c r="B287" s="98"/>
      <c r="K287" s="158"/>
    </row>
    <row r="288" spans="2:11" s="38" customFormat="1" x14ac:dyDescent="0.25">
      <c r="B288" s="98"/>
      <c r="K288" s="158"/>
    </row>
    <row r="289" spans="2:11" s="38" customFormat="1" x14ac:dyDescent="0.25">
      <c r="B289" s="98"/>
      <c r="K289" s="158"/>
    </row>
    <row r="290" spans="2:11" s="38" customFormat="1" x14ac:dyDescent="0.25">
      <c r="B290" s="98"/>
      <c r="K290" s="158"/>
    </row>
    <row r="291" spans="2:11" s="38" customFormat="1" x14ac:dyDescent="0.25">
      <c r="B291" s="98"/>
      <c r="K291" s="158"/>
    </row>
    <row r="292" spans="2:11" s="38" customFormat="1" x14ac:dyDescent="0.25">
      <c r="B292" s="98"/>
      <c r="K292" s="158"/>
    </row>
    <row r="293" spans="2:11" s="38" customFormat="1" x14ac:dyDescent="0.25">
      <c r="B293" s="98"/>
      <c r="K293" s="158"/>
    </row>
    <row r="294" spans="2:11" s="38" customFormat="1" x14ac:dyDescent="0.25">
      <c r="B294" s="98"/>
      <c r="K294" s="158"/>
    </row>
    <row r="295" spans="2:11" s="38" customFormat="1" x14ac:dyDescent="0.25">
      <c r="B295" s="98"/>
      <c r="K295" s="158"/>
    </row>
    <row r="296" spans="2:11" s="38" customFormat="1" x14ac:dyDescent="0.25">
      <c r="B296" s="37"/>
      <c r="F296" s="37"/>
      <c r="G296" s="37"/>
      <c r="H296" s="37"/>
      <c r="K296" s="158"/>
    </row>
    <row r="297" spans="2:11" s="38" customFormat="1" x14ac:dyDescent="0.25">
      <c r="B297" s="37"/>
      <c r="F297" s="37"/>
      <c r="G297" s="37"/>
      <c r="H297" s="37"/>
      <c r="K297" s="158"/>
    </row>
    <row r="298" spans="2:11" s="38" customFormat="1" x14ac:dyDescent="0.25">
      <c r="B298" s="37"/>
      <c r="F298" s="37"/>
      <c r="G298" s="37"/>
      <c r="H298" s="37"/>
      <c r="K298" s="158"/>
    </row>
    <row r="299" spans="2:11" s="38" customFormat="1" x14ac:dyDescent="0.25">
      <c r="B299" s="37"/>
      <c r="F299" s="37"/>
      <c r="G299" s="37"/>
      <c r="H299" s="37"/>
      <c r="K299" s="158"/>
    </row>
    <row r="300" spans="2:11" s="38" customFormat="1" x14ac:dyDescent="0.25">
      <c r="B300" s="37"/>
      <c r="F300" s="37"/>
      <c r="G300" s="37"/>
      <c r="H300" s="37"/>
      <c r="K300" s="158"/>
    </row>
    <row r="301" spans="2:11" s="38" customFormat="1" x14ac:dyDescent="0.25">
      <c r="B301" s="37"/>
      <c r="F301" s="37"/>
      <c r="G301" s="37"/>
      <c r="H301" s="37"/>
      <c r="K301" s="158"/>
    </row>
    <row r="302" spans="2:11" s="38" customFormat="1" x14ac:dyDescent="0.25">
      <c r="B302" s="37"/>
      <c r="F302" s="37"/>
      <c r="G302" s="37"/>
      <c r="H302" s="37"/>
      <c r="K302" s="158"/>
    </row>
    <row r="303" spans="2:11" s="38" customFormat="1" x14ac:dyDescent="0.25">
      <c r="B303" s="37"/>
      <c r="F303" s="37"/>
      <c r="G303" s="37"/>
      <c r="H303" s="37"/>
      <c r="K303" s="158"/>
    </row>
    <row r="304" spans="2:11" s="38" customFormat="1" x14ac:dyDescent="0.25">
      <c r="B304" s="37"/>
      <c r="F304" s="37"/>
      <c r="G304" s="37"/>
      <c r="H304" s="37"/>
      <c r="K304" s="158"/>
    </row>
    <row r="305" spans="2:11" s="38" customFormat="1" x14ac:dyDescent="0.25">
      <c r="B305" s="37"/>
      <c r="F305" s="37"/>
      <c r="G305" s="37"/>
      <c r="H305" s="37"/>
      <c r="K305" s="158"/>
    </row>
    <row r="306" spans="2:11" s="38" customFormat="1" x14ac:dyDescent="0.25">
      <c r="B306" s="37"/>
      <c r="F306" s="37"/>
      <c r="G306" s="37"/>
      <c r="H306" s="37"/>
      <c r="K306" s="158"/>
    </row>
  </sheetData>
  <mergeCells count="132">
    <mergeCell ref="G78:H78"/>
    <mergeCell ref="G79:H79"/>
    <mergeCell ref="G80:H80"/>
    <mergeCell ref="G81:H81"/>
    <mergeCell ref="G82:H82"/>
    <mergeCell ref="G83:H83"/>
    <mergeCell ref="G72:H72"/>
    <mergeCell ref="G73:H73"/>
    <mergeCell ref="G74:H74"/>
    <mergeCell ref="G75:H75"/>
    <mergeCell ref="G76:H76"/>
    <mergeCell ref="G77:H77"/>
    <mergeCell ref="E78:F78"/>
    <mergeCell ref="E79:F79"/>
    <mergeCell ref="E80:F80"/>
    <mergeCell ref="E81:F81"/>
    <mergeCell ref="E82:F82"/>
    <mergeCell ref="E83:F83"/>
    <mergeCell ref="E72:F72"/>
    <mergeCell ref="E73:F73"/>
    <mergeCell ref="E74:F74"/>
    <mergeCell ref="E75:F75"/>
    <mergeCell ref="E76:F76"/>
    <mergeCell ref="E77:F77"/>
    <mergeCell ref="E71:F71"/>
    <mergeCell ref="G66:H66"/>
    <mergeCell ref="G67:H67"/>
    <mergeCell ref="G68:H68"/>
    <mergeCell ref="G69:H69"/>
    <mergeCell ref="G70:H70"/>
    <mergeCell ref="G71:H71"/>
    <mergeCell ref="G64:H64"/>
    <mergeCell ref="E66:F66"/>
    <mergeCell ref="E67:F67"/>
    <mergeCell ref="E68:F68"/>
    <mergeCell ref="E69:F69"/>
    <mergeCell ref="E70:F70"/>
    <mergeCell ref="E63:F63"/>
    <mergeCell ref="E64:F64"/>
    <mergeCell ref="G57:H57"/>
    <mergeCell ref="G56:H56"/>
    <mergeCell ref="G58:H58"/>
    <mergeCell ref="G59:H59"/>
    <mergeCell ref="G60:H60"/>
    <mergeCell ref="G61:H61"/>
    <mergeCell ref="G62:H62"/>
    <mergeCell ref="G63:H63"/>
    <mergeCell ref="E57:F57"/>
    <mergeCell ref="E58:F58"/>
    <mergeCell ref="E59:F59"/>
    <mergeCell ref="E60:F60"/>
    <mergeCell ref="E61:F61"/>
    <mergeCell ref="E62:F62"/>
    <mergeCell ref="G52:H52"/>
    <mergeCell ref="G53:H53"/>
    <mergeCell ref="E54:F54"/>
    <mergeCell ref="G54:H54"/>
    <mergeCell ref="E56:F56"/>
    <mergeCell ref="E49:F49"/>
    <mergeCell ref="E50:F50"/>
    <mergeCell ref="E51:F51"/>
    <mergeCell ref="E52:F52"/>
    <mergeCell ref="G46:H46"/>
    <mergeCell ref="G49:H49"/>
    <mergeCell ref="G50:H50"/>
    <mergeCell ref="E46:F46"/>
    <mergeCell ref="G51:H51"/>
    <mergeCell ref="G47:H47"/>
    <mergeCell ref="E45:F45"/>
    <mergeCell ref="E47:F47"/>
    <mergeCell ref="E43:F43"/>
    <mergeCell ref="G29:H29"/>
    <mergeCell ref="G41:H41"/>
    <mergeCell ref="G42:H42"/>
    <mergeCell ref="G43:H43"/>
    <mergeCell ref="E38:F38"/>
    <mergeCell ref="E39:F39"/>
    <mergeCell ref="E40:F40"/>
    <mergeCell ref="E41:F41"/>
    <mergeCell ref="E42:F42"/>
    <mergeCell ref="G34:H34"/>
    <mergeCell ref="G35:H35"/>
    <mergeCell ref="G36:H36"/>
    <mergeCell ref="G37:H37"/>
    <mergeCell ref="G38:H38"/>
    <mergeCell ref="G39:H39"/>
    <mergeCell ref="G40:H40"/>
    <mergeCell ref="C86:D86"/>
    <mergeCell ref="F86:G86"/>
    <mergeCell ref="E25:F25"/>
    <mergeCell ref="E26:F26"/>
    <mergeCell ref="E29:F29"/>
    <mergeCell ref="E30:F30"/>
    <mergeCell ref="E31:F31"/>
    <mergeCell ref="E33:F33"/>
    <mergeCell ref="E34:F34"/>
    <mergeCell ref="E35:F35"/>
    <mergeCell ref="B48:H48"/>
    <mergeCell ref="B65:H65"/>
    <mergeCell ref="B79:C79"/>
    <mergeCell ref="E36:F36"/>
    <mergeCell ref="E37:F37"/>
    <mergeCell ref="G32:H32"/>
    <mergeCell ref="G33:H33"/>
    <mergeCell ref="G25:H25"/>
    <mergeCell ref="G26:H26"/>
    <mergeCell ref="E53:F53"/>
    <mergeCell ref="E44:F44"/>
    <mergeCell ref="G44:H44"/>
    <mergeCell ref="G45:H45"/>
    <mergeCell ref="C12:F12"/>
    <mergeCell ref="C9:F9"/>
    <mergeCell ref="E15:G15"/>
    <mergeCell ref="E16:G16"/>
    <mergeCell ref="C18:H18"/>
    <mergeCell ref="E32:F32"/>
    <mergeCell ref="F6:G6"/>
    <mergeCell ref="C8:F8"/>
    <mergeCell ref="G8:H8"/>
    <mergeCell ref="C10:F10"/>
    <mergeCell ref="C11:F11"/>
    <mergeCell ref="C13:F13"/>
    <mergeCell ref="C14:F14"/>
    <mergeCell ref="C17:F17"/>
    <mergeCell ref="C19:F19"/>
    <mergeCell ref="C20:F20"/>
    <mergeCell ref="B22:H22"/>
    <mergeCell ref="B23:H23"/>
    <mergeCell ref="B27:H27"/>
    <mergeCell ref="B28:I28"/>
    <mergeCell ref="G30:H30"/>
    <mergeCell ref="G31:H31"/>
  </mergeCells>
  <pageMargins left="0.39370078740157483" right="0.23622047244094491" top="0.6692913385826772" bottom="0.59055118110236227" header="0.19685039370078741" footer="0.19685039370078741"/>
  <pageSetup paperSize="9" scale="58" orientation="portrait" r:id="rId1"/>
  <ignoredErrors>
    <ignoredError sqref="L36:M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6"/>
  <sheetViews>
    <sheetView topLeftCell="B1" zoomScale="70" zoomScaleNormal="70" workbookViewId="0">
      <selection activeCell="F3" sqref="F3"/>
    </sheetView>
  </sheetViews>
  <sheetFormatPr defaultColWidth="9.140625" defaultRowHeight="18.75" x14ac:dyDescent="0.25"/>
  <cols>
    <col min="1" max="1" width="4.85546875" style="37" hidden="1" customWidth="1"/>
    <col min="2" max="2" width="73.140625" style="37" customWidth="1"/>
    <col min="3" max="3" width="7.140625" style="38" customWidth="1"/>
    <col min="4" max="4" width="8.140625" style="38" customWidth="1"/>
    <col min="5" max="5" width="7.7109375" style="38" customWidth="1"/>
    <col min="6" max="6" width="14.140625" style="179" customWidth="1"/>
    <col min="7" max="7" width="12.140625" style="179" customWidth="1"/>
    <col min="8" max="8" width="12.85546875" style="179" customWidth="1"/>
    <col min="9" max="9" width="14.85546875" style="179" customWidth="1"/>
    <col min="10" max="10" width="14.7109375" style="179" customWidth="1"/>
    <col min="11" max="11" width="1.140625" style="37" hidden="1" customWidth="1"/>
    <col min="12" max="12" width="10.7109375" style="37" hidden="1" customWidth="1"/>
    <col min="13" max="13" width="22" style="56" hidden="1" customWidth="1"/>
    <col min="14" max="14" width="21.140625" style="37" hidden="1" customWidth="1"/>
    <col min="15" max="15" width="21" style="37" hidden="1" customWidth="1"/>
    <col min="16" max="17" width="21.140625" style="37" hidden="1" customWidth="1"/>
    <col min="18" max="18" width="17" style="37" hidden="1" customWidth="1"/>
    <col min="19" max="19" width="17.85546875" style="37" hidden="1" customWidth="1"/>
    <col min="20" max="23" width="18.5703125" style="37" hidden="1" customWidth="1"/>
    <col min="24" max="25" width="9.140625" style="37" hidden="1" customWidth="1"/>
    <col min="26" max="26" width="18.5703125" style="37" hidden="1" customWidth="1"/>
    <col min="27" max="28" width="9.140625" style="37" hidden="1" customWidth="1"/>
    <col min="29" max="16384" width="9.140625" style="37"/>
  </cols>
  <sheetData>
    <row r="1" spans="2:10" x14ac:dyDescent="0.25">
      <c r="G1" s="179" t="s">
        <v>128</v>
      </c>
    </row>
    <row r="2" spans="2:10" x14ac:dyDescent="0.25">
      <c r="B2" s="38"/>
      <c r="E2" s="37"/>
      <c r="F2" s="179" t="s">
        <v>129</v>
      </c>
    </row>
    <row r="3" spans="2:10" x14ac:dyDescent="0.25">
      <c r="B3" s="38"/>
      <c r="E3" s="37"/>
      <c r="F3" s="179" t="s">
        <v>465</v>
      </c>
    </row>
    <row r="4" spans="2:10" x14ac:dyDescent="0.25">
      <c r="B4" s="38"/>
      <c r="E4" s="37"/>
    </row>
    <row r="5" spans="2:10" x14ac:dyDescent="0.25">
      <c r="B5" s="38"/>
      <c r="E5" s="37"/>
      <c r="F5" s="179" t="s">
        <v>131</v>
      </c>
      <c r="I5" s="179" t="s">
        <v>132</v>
      </c>
    </row>
    <row r="7" spans="2:10" x14ac:dyDescent="0.25">
      <c r="H7" s="180" t="s">
        <v>133</v>
      </c>
      <c r="I7" s="181"/>
    </row>
    <row r="8" spans="2:10" x14ac:dyDescent="0.25">
      <c r="H8" s="180" t="s">
        <v>135</v>
      </c>
      <c r="I8" s="181"/>
    </row>
    <row r="9" spans="2:10" x14ac:dyDescent="0.25">
      <c r="H9" s="180" t="s">
        <v>136</v>
      </c>
      <c r="I9" s="181"/>
    </row>
    <row r="10" spans="2:10" x14ac:dyDescent="0.25">
      <c r="H10" s="180" t="s">
        <v>137</v>
      </c>
      <c r="I10" s="181" t="s">
        <v>134</v>
      </c>
    </row>
    <row r="11" spans="2:10" x14ac:dyDescent="0.25">
      <c r="H11" s="327" t="s">
        <v>138</v>
      </c>
      <c r="I11" s="328"/>
    </row>
    <row r="13" spans="2:10" x14ac:dyDescent="0.25">
      <c r="C13" s="266"/>
      <c r="D13" s="266"/>
      <c r="E13" s="266"/>
      <c r="F13" s="266"/>
      <c r="I13" s="329" t="s">
        <v>139</v>
      </c>
      <c r="J13" s="329"/>
    </row>
    <row r="14" spans="2:10" ht="26.25" customHeight="1" x14ac:dyDescent="0.25">
      <c r="B14" s="42" t="s">
        <v>140</v>
      </c>
      <c r="C14" s="267" t="s">
        <v>141</v>
      </c>
      <c r="D14" s="267"/>
      <c r="E14" s="267"/>
      <c r="F14" s="267"/>
      <c r="G14" s="267"/>
      <c r="H14" s="182"/>
      <c r="I14" s="180" t="s">
        <v>142</v>
      </c>
      <c r="J14" s="181">
        <v>39007143</v>
      </c>
    </row>
    <row r="15" spans="2:10" x14ac:dyDescent="0.25">
      <c r="B15" s="42" t="s">
        <v>143</v>
      </c>
      <c r="C15" s="257" t="s">
        <v>144</v>
      </c>
      <c r="D15" s="257"/>
      <c r="E15" s="257"/>
      <c r="F15" s="257"/>
      <c r="G15" s="183"/>
      <c r="H15" s="184"/>
      <c r="I15" s="180" t="s">
        <v>145</v>
      </c>
      <c r="J15" s="181">
        <v>150</v>
      </c>
    </row>
    <row r="16" spans="2:10" x14ac:dyDescent="0.25">
      <c r="B16" s="42" t="s">
        <v>146</v>
      </c>
      <c r="C16" s="257" t="s">
        <v>147</v>
      </c>
      <c r="D16" s="257"/>
      <c r="E16" s="257"/>
      <c r="F16" s="257"/>
      <c r="G16" s="183"/>
      <c r="H16" s="184"/>
      <c r="I16" s="180" t="s">
        <v>148</v>
      </c>
      <c r="J16" s="181">
        <v>2610600000</v>
      </c>
    </row>
    <row r="17" spans="2:18" x14ac:dyDescent="0.25">
      <c r="B17" s="42" t="s">
        <v>149</v>
      </c>
      <c r="C17" s="257"/>
      <c r="D17" s="257"/>
      <c r="E17" s="257"/>
      <c r="F17" s="257"/>
      <c r="G17" s="185"/>
      <c r="H17" s="182"/>
      <c r="I17" s="180" t="s">
        <v>150</v>
      </c>
      <c r="J17" s="181"/>
    </row>
    <row r="18" spans="2:18" x14ac:dyDescent="0.25">
      <c r="B18" s="42" t="s">
        <v>151</v>
      </c>
      <c r="C18" s="257"/>
      <c r="D18" s="257"/>
      <c r="E18" s="257"/>
      <c r="F18" s="257"/>
      <c r="G18" s="185"/>
      <c r="H18" s="182"/>
      <c r="I18" s="180" t="s">
        <v>152</v>
      </c>
      <c r="J18" s="181"/>
    </row>
    <row r="19" spans="2:18" x14ac:dyDescent="0.25">
      <c r="B19" s="42" t="s">
        <v>153</v>
      </c>
      <c r="C19" s="257"/>
      <c r="D19" s="257"/>
      <c r="E19" s="257"/>
      <c r="F19" s="257"/>
      <c r="G19" s="185"/>
      <c r="H19" s="186"/>
      <c r="I19" s="187" t="s">
        <v>154</v>
      </c>
      <c r="J19" s="181" t="s">
        <v>155</v>
      </c>
    </row>
    <row r="20" spans="2:18" x14ac:dyDescent="0.25">
      <c r="B20" s="42" t="s">
        <v>156</v>
      </c>
      <c r="C20" s="257"/>
      <c r="D20" s="257"/>
      <c r="E20" s="257"/>
      <c r="F20" s="257"/>
      <c r="G20" s="322" t="s">
        <v>157</v>
      </c>
      <c r="H20" s="323"/>
      <c r="I20" s="324"/>
      <c r="J20" s="188" t="s">
        <v>134</v>
      </c>
    </row>
    <row r="21" spans="2:18" x14ac:dyDescent="0.25">
      <c r="B21" s="42" t="s">
        <v>158</v>
      </c>
      <c r="C21" s="257" t="s">
        <v>159</v>
      </c>
      <c r="D21" s="257"/>
      <c r="E21" s="257"/>
      <c r="F21" s="257"/>
      <c r="G21" s="322" t="s">
        <v>160</v>
      </c>
      <c r="H21" s="323"/>
      <c r="I21" s="324"/>
      <c r="J21" s="189"/>
    </row>
    <row r="22" spans="2:18" x14ac:dyDescent="0.25">
      <c r="B22" s="42" t="s">
        <v>161</v>
      </c>
      <c r="C22" s="260">
        <v>220</v>
      </c>
      <c r="D22" s="260"/>
      <c r="E22" s="260"/>
      <c r="F22" s="260"/>
      <c r="G22" s="185"/>
      <c r="H22" s="185"/>
      <c r="I22" s="185"/>
      <c r="J22" s="182"/>
    </row>
    <row r="23" spans="2:18" x14ac:dyDescent="0.25">
      <c r="B23" s="42" t="s">
        <v>162</v>
      </c>
      <c r="C23" s="257" t="s">
        <v>163</v>
      </c>
      <c r="D23" s="257"/>
      <c r="E23" s="257"/>
      <c r="F23" s="257"/>
      <c r="G23" s="257"/>
      <c r="H23" s="257"/>
      <c r="I23" s="257"/>
      <c r="J23" s="261"/>
    </row>
    <row r="24" spans="2:18" x14ac:dyDescent="0.25">
      <c r="B24" s="42" t="s">
        <v>164</v>
      </c>
      <c r="C24" s="268" t="s">
        <v>165</v>
      </c>
      <c r="D24" s="268"/>
      <c r="E24" s="268"/>
      <c r="F24" s="268"/>
      <c r="G24" s="185"/>
      <c r="H24" s="185"/>
      <c r="I24" s="185"/>
      <c r="J24" s="182"/>
    </row>
    <row r="25" spans="2:18" x14ac:dyDescent="0.25">
      <c r="B25" s="42" t="s">
        <v>166</v>
      </c>
      <c r="C25" s="260" t="s">
        <v>167</v>
      </c>
      <c r="D25" s="260"/>
      <c r="E25" s="260"/>
      <c r="F25" s="260"/>
      <c r="G25" s="183"/>
      <c r="H25" s="183"/>
      <c r="I25" s="183"/>
      <c r="J25" s="184"/>
    </row>
    <row r="27" spans="2:18" ht="18" customHeight="1" x14ac:dyDescent="0.25">
      <c r="B27" s="269" t="s">
        <v>296</v>
      </c>
      <c r="C27" s="269"/>
      <c r="D27" s="269"/>
      <c r="E27" s="269"/>
      <c r="F27" s="269"/>
      <c r="G27" s="269"/>
      <c r="H27" s="269"/>
      <c r="I27" s="269"/>
      <c r="J27" s="269"/>
    </row>
    <row r="28" spans="2:18" hidden="1" x14ac:dyDescent="0.25">
      <c r="B28" s="270"/>
      <c r="C28" s="270"/>
      <c r="D28" s="270"/>
      <c r="E28" s="270"/>
      <c r="F28" s="270"/>
      <c r="G28" s="270"/>
      <c r="H28" s="270"/>
      <c r="I28" s="270"/>
      <c r="J28" s="270"/>
      <c r="K28" s="52"/>
      <c r="L28" s="52"/>
      <c r="M28" s="52"/>
      <c r="N28" s="52"/>
      <c r="O28" s="52"/>
      <c r="P28" s="52"/>
      <c r="Q28" s="52"/>
      <c r="R28" s="52"/>
    </row>
    <row r="29" spans="2:18" x14ac:dyDescent="0.25">
      <c r="B29" s="51"/>
      <c r="C29" s="53"/>
      <c r="D29" s="51"/>
      <c r="E29" s="51"/>
      <c r="F29" s="190"/>
      <c r="G29" s="190"/>
      <c r="H29" s="190"/>
      <c r="I29" s="190"/>
      <c r="J29" s="190" t="s">
        <v>168</v>
      </c>
    </row>
    <row r="30" spans="2:18" x14ac:dyDescent="0.25">
      <c r="B30" s="252" t="s">
        <v>169</v>
      </c>
      <c r="C30" s="256" t="s">
        <v>170</v>
      </c>
      <c r="D30" s="253" t="s">
        <v>171</v>
      </c>
      <c r="E30" s="253" t="s">
        <v>172</v>
      </c>
      <c r="F30" s="325" t="s">
        <v>173</v>
      </c>
      <c r="G30" s="326" t="s">
        <v>174</v>
      </c>
      <c r="H30" s="326"/>
      <c r="I30" s="326"/>
      <c r="J30" s="326"/>
      <c r="K30" s="247" t="s">
        <v>175</v>
      </c>
      <c r="L30" s="53"/>
      <c r="M30" s="51"/>
      <c r="N30" s="53"/>
      <c r="O30" s="53"/>
      <c r="P30" s="53"/>
      <c r="Q30" s="53"/>
      <c r="R30" s="53"/>
    </row>
    <row r="31" spans="2:18" ht="25.5" customHeight="1" x14ac:dyDescent="0.25">
      <c r="B31" s="252"/>
      <c r="C31" s="256"/>
      <c r="D31" s="253"/>
      <c r="E31" s="253"/>
      <c r="F31" s="325"/>
      <c r="G31" s="191" t="s">
        <v>176</v>
      </c>
      <c r="H31" s="191" t="s">
        <v>177</v>
      </c>
      <c r="I31" s="191" t="s">
        <v>178</v>
      </c>
      <c r="J31" s="191" t="s">
        <v>179</v>
      </c>
      <c r="K31" s="247"/>
      <c r="L31" s="53"/>
      <c r="M31" s="51"/>
      <c r="N31" s="53"/>
      <c r="O31" s="53"/>
      <c r="P31" s="53"/>
      <c r="Q31" s="53"/>
      <c r="R31" s="53"/>
    </row>
    <row r="32" spans="2:18" x14ac:dyDescent="0.25">
      <c r="B32" s="40">
        <v>1</v>
      </c>
      <c r="C32" s="49">
        <v>2</v>
      </c>
      <c r="D32" s="49">
        <v>3</v>
      </c>
      <c r="E32" s="49">
        <v>4</v>
      </c>
      <c r="F32" s="188">
        <v>5</v>
      </c>
      <c r="G32" s="188">
        <v>6</v>
      </c>
      <c r="H32" s="188">
        <v>7</v>
      </c>
      <c r="I32" s="188">
        <v>8</v>
      </c>
      <c r="J32" s="188">
        <v>9</v>
      </c>
      <c r="K32" s="49">
        <v>10</v>
      </c>
      <c r="L32" s="53"/>
      <c r="M32" s="51"/>
      <c r="N32" s="53"/>
      <c r="O32" s="53"/>
      <c r="P32" s="53"/>
      <c r="Q32" s="53"/>
      <c r="R32" s="53"/>
    </row>
    <row r="33" spans="1:26" x14ac:dyDescent="0.25">
      <c r="B33" s="248" t="s">
        <v>180</v>
      </c>
      <c r="C33" s="248"/>
      <c r="D33" s="248"/>
      <c r="E33" s="248"/>
      <c r="F33" s="248"/>
      <c r="G33" s="248"/>
      <c r="H33" s="248"/>
      <c r="I33" s="248"/>
      <c r="J33" s="249"/>
      <c r="K33" s="49"/>
      <c r="L33" s="53"/>
      <c r="M33" s="51"/>
      <c r="N33" s="53"/>
      <c r="O33" s="53"/>
      <c r="P33" s="53"/>
      <c r="Q33" s="53"/>
      <c r="R33" s="53"/>
    </row>
    <row r="34" spans="1:26" s="56" customFormat="1" x14ac:dyDescent="0.25">
      <c r="B34" s="250" t="s">
        <v>181</v>
      </c>
      <c r="C34" s="250"/>
      <c r="D34" s="250"/>
      <c r="E34" s="250"/>
      <c r="F34" s="250"/>
      <c r="G34" s="250"/>
      <c r="H34" s="250"/>
      <c r="I34" s="250"/>
      <c r="J34" s="250"/>
      <c r="K34" s="250"/>
      <c r="L34" s="117"/>
      <c r="M34" s="117"/>
      <c r="N34" s="117"/>
      <c r="O34" s="117"/>
      <c r="P34" s="117"/>
      <c r="Q34" s="117"/>
      <c r="R34" s="117"/>
    </row>
    <row r="35" spans="1:26" s="56" customFormat="1" ht="36.75" customHeight="1" x14ac:dyDescent="0.25">
      <c r="A35" s="56">
        <v>1</v>
      </c>
      <c r="B35" s="57" t="s">
        <v>182</v>
      </c>
      <c r="C35" s="58">
        <v>100</v>
      </c>
      <c r="D35" s="59"/>
      <c r="E35" s="59"/>
      <c r="F35" s="192">
        <f t="shared" ref="F35:F44" si="0">SUM(G35:J35)</f>
        <v>33250.742120000003</v>
      </c>
      <c r="G35" s="193">
        <f>-(G41+G60+G75+G84+G86)-G36-G37</f>
        <v>9342.8216100000009</v>
      </c>
      <c r="H35" s="193">
        <f>-(H41+H60+H75+H84+H86)-H36-H37</f>
        <v>7826.2315099999996</v>
      </c>
      <c r="I35" s="193">
        <f>-(I41+I60+I75+I84+I86)-I36-I37</f>
        <v>8041.4447399999999</v>
      </c>
      <c r="J35" s="193">
        <f>-(J41+J60+J75+J84+J86)-J36-J37</f>
        <v>8040.2442600000004</v>
      </c>
      <c r="K35" s="62" t="s">
        <v>183</v>
      </c>
      <c r="L35" s="87"/>
      <c r="M35" s="159"/>
      <c r="N35" s="87"/>
      <c r="O35" s="87"/>
      <c r="P35" s="87"/>
      <c r="Q35" s="87"/>
      <c r="R35" s="87"/>
      <c r="S35" s="124">
        <v>1196</v>
      </c>
    </row>
    <row r="36" spans="1:26" s="56" customFormat="1" ht="40.5" customHeight="1" x14ac:dyDescent="0.25">
      <c r="A36" s="56">
        <v>2</v>
      </c>
      <c r="B36" s="57" t="s">
        <v>444</v>
      </c>
      <c r="C36" s="58">
        <v>110</v>
      </c>
      <c r="D36" s="59"/>
      <c r="E36" s="59"/>
      <c r="F36" s="192">
        <f t="shared" si="0"/>
        <v>534.66498999999999</v>
      </c>
      <c r="G36" s="193">
        <f>G94</f>
        <v>96.661000000000001</v>
      </c>
      <c r="H36" s="193">
        <f>H94</f>
        <v>165.04698999999999</v>
      </c>
      <c r="I36" s="193">
        <f>I94</f>
        <v>178.88900000000001</v>
      </c>
      <c r="J36" s="193">
        <f>J94</f>
        <v>94.067999999999998</v>
      </c>
      <c r="K36" s="62" t="s">
        <v>126</v>
      </c>
      <c r="L36" s="87"/>
      <c r="M36" s="159"/>
      <c r="N36" s="87"/>
      <c r="O36" s="87"/>
      <c r="P36" s="87"/>
      <c r="Q36" s="87"/>
      <c r="R36" s="87"/>
    </row>
    <row r="37" spans="1:26" s="56" customFormat="1" ht="37.5" x14ac:dyDescent="0.25">
      <c r="A37" s="56">
        <v>3</v>
      </c>
      <c r="B37" s="57" t="s">
        <v>184</v>
      </c>
      <c r="C37" s="58">
        <v>120</v>
      </c>
      <c r="D37" s="59"/>
      <c r="E37" s="59"/>
      <c r="F37" s="192">
        <f t="shared" si="0"/>
        <v>0</v>
      </c>
      <c r="G37" s="193">
        <f>G38+G39+G40</f>
        <v>0</v>
      </c>
      <c r="H37" s="193">
        <f>H38+H39+H40</f>
        <v>0</v>
      </c>
      <c r="I37" s="193">
        <f>I38+I39+I40</f>
        <v>0</v>
      </c>
      <c r="J37" s="193">
        <f>J38+J39+J40</f>
        <v>0</v>
      </c>
      <c r="K37" s="62"/>
      <c r="L37" s="87"/>
      <c r="M37" s="159"/>
      <c r="N37" s="87"/>
      <c r="O37" s="87"/>
      <c r="P37" s="87"/>
      <c r="Q37" s="87"/>
      <c r="R37" s="87"/>
    </row>
    <row r="38" spans="1:26" s="56" customFormat="1" ht="56.25" x14ac:dyDescent="0.25">
      <c r="A38" s="56">
        <v>4</v>
      </c>
      <c r="B38" s="63" t="s">
        <v>185</v>
      </c>
      <c r="C38" s="64">
        <v>121</v>
      </c>
      <c r="D38" s="59"/>
      <c r="E38" s="59"/>
      <c r="F38" s="192">
        <f t="shared" si="0"/>
        <v>0</v>
      </c>
      <c r="G38" s="193"/>
      <c r="H38" s="193"/>
      <c r="I38" s="193"/>
      <c r="J38" s="193"/>
      <c r="K38" s="62"/>
      <c r="L38" s="87"/>
      <c r="M38" s="159"/>
      <c r="N38" s="87"/>
      <c r="O38" s="87"/>
      <c r="P38" s="87"/>
      <c r="Q38" s="87"/>
      <c r="R38" s="87"/>
    </row>
    <row r="39" spans="1:26" s="56" customFormat="1" ht="37.5" x14ac:dyDescent="0.25">
      <c r="A39" s="56">
        <v>5</v>
      </c>
      <c r="B39" s="63" t="s">
        <v>186</v>
      </c>
      <c r="C39" s="64">
        <v>122</v>
      </c>
      <c r="D39" s="59"/>
      <c r="E39" s="59"/>
      <c r="F39" s="192">
        <f t="shared" si="0"/>
        <v>0</v>
      </c>
      <c r="G39" s="193"/>
      <c r="H39" s="193"/>
      <c r="I39" s="193">
        <v>0</v>
      </c>
      <c r="J39" s="193">
        <v>0</v>
      </c>
      <c r="K39" s="62"/>
      <c r="L39" s="87"/>
      <c r="M39" s="159"/>
      <c r="N39" s="87"/>
      <c r="O39" s="87"/>
      <c r="P39" s="87"/>
      <c r="Q39" s="87"/>
      <c r="R39" s="87"/>
    </row>
    <row r="40" spans="1:26" s="56" customFormat="1" ht="24.75" customHeight="1" x14ac:dyDescent="0.25">
      <c r="A40" s="56">
        <v>6</v>
      </c>
      <c r="B40" s="63" t="s">
        <v>443</v>
      </c>
      <c r="C40" s="64">
        <v>123</v>
      </c>
      <c r="D40" s="59"/>
      <c r="E40" s="59"/>
      <c r="F40" s="192">
        <f t="shared" si="0"/>
        <v>0</v>
      </c>
      <c r="G40" s="193"/>
      <c r="H40" s="193"/>
      <c r="I40" s="193"/>
      <c r="J40" s="193"/>
      <c r="K40" s="62" t="s">
        <v>188</v>
      </c>
      <c r="L40" s="87"/>
      <c r="M40" s="159"/>
      <c r="N40" s="87"/>
      <c r="O40" s="87"/>
      <c r="P40" s="87"/>
      <c r="Q40" s="87"/>
      <c r="R40" s="87"/>
    </row>
    <row r="41" spans="1:26" ht="56.25" x14ac:dyDescent="0.25">
      <c r="A41" s="56">
        <v>7</v>
      </c>
      <c r="B41" s="57" t="s">
        <v>189</v>
      </c>
      <c r="C41" s="58">
        <v>130</v>
      </c>
      <c r="D41" s="65">
        <f>SUM(D42:D59)</f>
        <v>0</v>
      </c>
      <c r="E41" s="65">
        <f>SUM(E42:E59)</f>
        <v>0</v>
      </c>
      <c r="F41" s="194">
        <f t="shared" si="0"/>
        <v>-26258.059500000003</v>
      </c>
      <c r="G41" s="192">
        <f>G42+G45+G46+G51+SUM(G52:G59)</f>
        <v>-6673.72</v>
      </c>
      <c r="H41" s="192">
        <f>H42+H45+H46+H51+SUM(H52:H59)</f>
        <v>-6275.0294999999996</v>
      </c>
      <c r="I41" s="192">
        <f>I42+I45+I46+I51+SUM(I52:I59)</f>
        <v>-6555.41</v>
      </c>
      <c r="J41" s="192">
        <f>J42+J45+J46+J51+SUM(J52:J59)</f>
        <v>-6753.9000000000005</v>
      </c>
      <c r="K41" s="62"/>
      <c r="L41" s="87"/>
      <c r="M41" s="159"/>
      <c r="N41" s="210" t="s">
        <v>453</v>
      </c>
      <c r="O41" s="87"/>
      <c r="P41" s="87"/>
      <c r="Q41" s="87"/>
      <c r="R41" s="87"/>
      <c r="T41" s="208">
        <f>T42+T45+T46+T51+T52+T53+T54+T55+T56+T57+T58+T59</f>
        <v>6673720</v>
      </c>
      <c r="U41" s="208">
        <f>U42+U45+U46+U51+U52+U53+U54+U55+U56+U57+U58+U59</f>
        <v>6275029.5</v>
      </c>
      <c r="V41" s="208">
        <f>V42+V45+V46+V51+V52+V53+V54+V55+V56+V57+V58+V59</f>
        <v>6555410</v>
      </c>
      <c r="W41" s="208">
        <f>W42+W45+W46+W51+W52+W53+W54+W55+W56+W57+W58+W59</f>
        <v>6753900</v>
      </c>
      <c r="Z41" s="216">
        <f>F41*-1000</f>
        <v>26258059.500000004</v>
      </c>
    </row>
    <row r="42" spans="1:26" s="69" customFormat="1" x14ac:dyDescent="0.25">
      <c r="A42" s="56">
        <v>8</v>
      </c>
      <c r="B42" s="57" t="s">
        <v>190</v>
      </c>
      <c r="C42" s="49">
        <v>140</v>
      </c>
      <c r="D42" s="67"/>
      <c r="E42" s="67"/>
      <c r="F42" s="194">
        <f t="shared" si="0"/>
        <v>-1341.5</v>
      </c>
      <c r="G42" s="195">
        <f>SUM(G43:G44)</f>
        <v>-328.5</v>
      </c>
      <c r="H42" s="195">
        <f>SUM(H43:H44)</f>
        <v>-338.5</v>
      </c>
      <c r="I42" s="195">
        <f>SUM(I43:I44)</f>
        <v>-338.5</v>
      </c>
      <c r="J42" s="195">
        <f>SUM(J43:J44)</f>
        <v>-336</v>
      </c>
      <c r="K42" s="62"/>
      <c r="L42" s="87"/>
      <c r="M42" s="159"/>
      <c r="N42" s="210" t="s">
        <v>454</v>
      </c>
      <c r="O42" s="87"/>
      <c r="P42" s="87"/>
      <c r="Q42" s="87"/>
      <c r="R42" s="87"/>
      <c r="T42" s="209">
        <f>T43+T44</f>
        <v>328500</v>
      </c>
      <c r="U42" s="209">
        <f>U43+U44</f>
        <v>338500</v>
      </c>
      <c r="V42" s="209">
        <f>V43+V44</f>
        <v>338500</v>
      </c>
      <c r="W42" s="209">
        <f>W43+W44</f>
        <v>336000</v>
      </c>
      <c r="Z42" s="216">
        <f t="shared" ref="Z42:Z82" si="1">F42*-1000</f>
        <v>1341500</v>
      </c>
    </row>
    <row r="43" spans="1:26" s="69" customFormat="1" x14ac:dyDescent="0.25">
      <c r="A43" s="56">
        <v>9</v>
      </c>
      <c r="B43" s="63" t="s">
        <v>191</v>
      </c>
      <c r="C43" s="70">
        <v>141</v>
      </c>
      <c r="D43" s="59"/>
      <c r="E43" s="59"/>
      <c r="F43" s="192">
        <f t="shared" si="0"/>
        <v>-714</v>
      </c>
      <c r="G43" s="193">
        <v>-178.5</v>
      </c>
      <c r="H43" s="193">
        <v>-178.5</v>
      </c>
      <c r="I43" s="193">
        <v>-178.5</v>
      </c>
      <c r="J43" s="193">
        <v>-178.5</v>
      </c>
      <c r="K43" s="62"/>
      <c r="L43" s="164"/>
      <c r="M43" s="162">
        <f>N43+O43+P43+Q43</f>
        <v>714000</v>
      </c>
      <c r="N43" s="161">
        <v>178500</v>
      </c>
      <c r="O43" s="161">
        <v>178500</v>
      </c>
      <c r="P43" s="161">
        <v>178500</v>
      </c>
      <c r="Q43" s="161">
        <v>178500</v>
      </c>
      <c r="R43" s="87"/>
      <c r="T43" s="99">
        <f t="shared" ref="T43:W45" si="2">N43</f>
        <v>178500</v>
      </c>
      <c r="U43" s="99">
        <f t="shared" si="2"/>
        <v>178500</v>
      </c>
      <c r="V43" s="99">
        <f t="shared" si="2"/>
        <v>178500</v>
      </c>
      <c r="W43" s="99">
        <f t="shared" si="2"/>
        <v>178500</v>
      </c>
      <c r="Z43" s="216">
        <f t="shared" si="1"/>
        <v>714000</v>
      </c>
    </row>
    <row r="44" spans="1:26" s="69" customFormat="1" ht="40.5" customHeight="1" x14ac:dyDescent="0.25">
      <c r="A44" s="56">
        <v>10</v>
      </c>
      <c r="B44" s="63" t="s">
        <v>192</v>
      </c>
      <c r="C44" s="70">
        <v>142</v>
      </c>
      <c r="D44" s="59"/>
      <c r="E44" s="59"/>
      <c r="F44" s="192">
        <f t="shared" si="0"/>
        <v>-627.5</v>
      </c>
      <c r="G44" s="193">
        <v>-150</v>
      </c>
      <c r="H44" s="193">
        <v>-160</v>
      </c>
      <c r="I44" s="193">
        <v>-160</v>
      </c>
      <c r="J44" s="193">
        <v>-157.5</v>
      </c>
      <c r="K44" s="62"/>
      <c r="L44" s="164"/>
      <c r="M44" s="162">
        <f>N44+O44+P44+Q44</f>
        <v>627500</v>
      </c>
      <c r="N44" s="161">
        <v>150000</v>
      </c>
      <c r="O44" s="161">
        <v>160000</v>
      </c>
      <c r="P44" s="161">
        <v>160000</v>
      </c>
      <c r="Q44" s="161">
        <v>157500</v>
      </c>
      <c r="R44" s="87"/>
      <c r="T44" s="99">
        <f t="shared" si="2"/>
        <v>150000</v>
      </c>
      <c r="U44" s="99">
        <f t="shared" si="2"/>
        <v>160000</v>
      </c>
      <c r="V44" s="99">
        <f t="shared" si="2"/>
        <v>160000</v>
      </c>
      <c r="W44" s="99">
        <f t="shared" si="2"/>
        <v>157500</v>
      </c>
      <c r="Z44" s="216">
        <f t="shared" si="1"/>
        <v>627500</v>
      </c>
    </row>
    <row r="45" spans="1:26" s="69" customFormat="1" x14ac:dyDescent="0.25">
      <c r="A45" s="56">
        <v>11</v>
      </c>
      <c r="B45" s="57" t="s">
        <v>193</v>
      </c>
      <c r="C45" s="49">
        <v>150</v>
      </c>
      <c r="D45" s="59"/>
      <c r="E45" s="59"/>
      <c r="F45" s="192">
        <f t="shared" ref="F45:F75" si="3">SUM(G45:J45)</f>
        <v>-270.62400000000002</v>
      </c>
      <c r="G45" s="193">
        <v>-81.5</v>
      </c>
      <c r="H45" s="193">
        <v>-65.5</v>
      </c>
      <c r="I45" s="193">
        <v>-65.623999999999995</v>
      </c>
      <c r="J45" s="193">
        <v>-58</v>
      </c>
      <c r="K45" s="62"/>
      <c r="L45" s="164"/>
      <c r="M45" s="162">
        <f>N45+O45+P45+Q45</f>
        <v>270624</v>
      </c>
      <c r="N45" s="175">
        <v>81500</v>
      </c>
      <c r="O45" s="175">
        <v>65500</v>
      </c>
      <c r="P45" s="175">
        <v>65624</v>
      </c>
      <c r="Q45" s="175">
        <v>58000</v>
      </c>
      <c r="R45" s="87"/>
      <c r="T45" s="99">
        <f t="shared" si="2"/>
        <v>81500</v>
      </c>
      <c r="U45" s="99">
        <f t="shared" si="2"/>
        <v>65500</v>
      </c>
      <c r="V45" s="99">
        <f t="shared" si="2"/>
        <v>65624</v>
      </c>
      <c r="W45" s="99">
        <f t="shared" si="2"/>
        <v>58000</v>
      </c>
      <c r="Z45" s="216">
        <f t="shared" si="1"/>
        <v>270624</v>
      </c>
    </row>
    <row r="46" spans="1:26" s="69" customFormat="1" x14ac:dyDescent="0.25">
      <c r="A46" s="56">
        <v>12</v>
      </c>
      <c r="B46" s="57" t="s">
        <v>194</v>
      </c>
      <c r="C46" s="49">
        <v>160</v>
      </c>
      <c r="D46" s="67"/>
      <c r="E46" s="67"/>
      <c r="F46" s="196">
        <f>SUM(G46:J46)</f>
        <v>-1009.6155</v>
      </c>
      <c r="G46" s="195">
        <f>SUM(G47:G50)</f>
        <v>-369</v>
      </c>
      <c r="H46" s="195">
        <f>SUM(H47:H50)</f>
        <v>-65.029499999999999</v>
      </c>
      <c r="I46" s="195">
        <f>SUM(I47:I50)</f>
        <v>-64.986000000000004</v>
      </c>
      <c r="J46" s="195">
        <f>SUM(J47:J50)</f>
        <v>-510.6</v>
      </c>
      <c r="K46" s="62"/>
      <c r="L46" s="87"/>
      <c r="M46" s="159"/>
      <c r="N46" s="210" t="s">
        <v>455</v>
      </c>
      <c r="O46" s="87"/>
      <c r="P46" s="87"/>
      <c r="Q46" s="87"/>
      <c r="R46" s="87"/>
      <c r="T46" s="209">
        <f>T47+T48+T49+T50</f>
        <v>369000</v>
      </c>
      <c r="U46" s="209">
        <f>U47+U48+U49+U50</f>
        <v>65029.5</v>
      </c>
      <c r="V46" s="209">
        <f>V47+V48+V49+V50</f>
        <v>64986</v>
      </c>
      <c r="W46" s="209">
        <f>W47+W48+W49+W50</f>
        <v>510600</v>
      </c>
      <c r="Z46" s="216">
        <f t="shared" si="1"/>
        <v>1009615.5</v>
      </c>
    </row>
    <row r="47" spans="1:26" s="69" customFormat="1" x14ac:dyDescent="0.25">
      <c r="A47" s="56">
        <v>13</v>
      </c>
      <c r="B47" s="63" t="s">
        <v>195</v>
      </c>
      <c r="C47" s="70">
        <v>161</v>
      </c>
      <c r="D47" s="59"/>
      <c r="E47" s="59"/>
      <c r="F47" s="192">
        <f t="shared" si="3"/>
        <v>-551.52949999999998</v>
      </c>
      <c r="G47" s="193">
        <v>-195</v>
      </c>
      <c r="H47" s="193">
        <v>-63.029499999999999</v>
      </c>
      <c r="I47" s="193">
        <v>-63</v>
      </c>
      <c r="J47" s="193">
        <v>-230.5</v>
      </c>
      <c r="K47" s="62"/>
      <c r="L47" s="164"/>
      <c r="M47" s="162">
        <f t="shared" ref="M47:M55" si="4">N47+O47+P47+Q47</f>
        <v>551529.5</v>
      </c>
      <c r="N47" s="161">
        <v>195000</v>
      </c>
      <c r="O47" s="161">
        <v>63029.5</v>
      </c>
      <c r="P47" s="161">
        <v>63000</v>
      </c>
      <c r="Q47" s="161">
        <v>230500</v>
      </c>
      <c r="R47" s="87"/>
      <c r="T47" s="99">
        <f>N47</f>
        <v>195000</v>
      </c>
      <c r="U47" s="99">
        <f>O47</f>
        <v>63029.5</v>
      </c>
      <c r="V47" s="99">
        <f>P47</f>
        <v>63000</v>
      </c>
      <c r="W47" s="99">
        <f>Q47</f>
        <v>230500</v>
      </c>
      <c r="Z47" s="216">
        <f t="shared" si="1"/>
        <v>551529.5</v>
      </c>
    </row>
    <row r="48" spans="1:26" s="69" customFormat="1" x14ac:dyDescent="0.25">
      <c r="A48" s="56">
        <v>14</v>
      </c>
      <c r="B48" s="63" t="s">
        <v>196</v>
      </c>
      <c r="C48" s="70">
        <v>162</v>
      </c>
      <c r="D48" s="59"/>
      <c r="E48" s="59"/>
      <c r="F48" s="192">
        <f t="shared" si="3"/>
        <v>-8.5859999999999985</v>
      </c>
      <c r="G48" s="193">
        <v>-2.2999999999999998</v>
      </c>
      <c r="H48" s="193">
        <v>-2</v>
      </c>
      <c r="I48" s="193">
        <v>-1.986</v>
      </c>
      <c r="J48" s="193">
        <v>-2.2999999999999998</v>
      </c>
      <c r="K48" s="62"/>
      <c r="L48" s="164"/>
      <c r="M48" s="162">
        <f t="shared" si="4"/>
        <v>8586</v>
      </c>
      <c r="N48" s="161">
        <v>2300</v>
      </c>
      <c r="O48" s="161">
        <v>2000</v>
      </c>
      <c r="P48" s="161">
        <v>1986</v>
      </c>
      <c r="Q48" s="161">
        <v>2300</v>
      </c>
      <c r="R48" s="87"/>
      <c r="T48" s="99">
        <f t="shared" ref="T48:T59" si="5">N48</f>
        <v>2300</v>
      </c>
      <c r="U48" s="99">
        <f t="shared" ref="U48:U59" si="6">O48</f>
        <v>2000</v>
      </c>
      <c r="V48" s="99">
        <f t="shared" ref="V48:V59" si="7">P48</f>
        <v>1986</v>
      </c>
      <c r="W48" s="99">
        <f t="shared" ref="W48:W59" si="8">Q48</f>
        <v>2300</v>
      </c>
      <c r="Z48" s="216">
        <f t="shared" si="1"/>
        <v>8585.9999999999982</v>
      </c>
    </row>
    <row r="49" spans="1:26" s="69" customFormat="1" x14ac:dyDescent="0.25">
      <c r="A49" s="56">
        <v>15</v>
      </c>
      <c r="B49" s="63" t="s">
        <v>197</v>
      </c>
      <c r="C49" s="70">
        <v>163</v>
      </c>
      <c r="D49" s="59"/>
      <c r="E49" s="59"/>
      <c r="F49" s="192">
        <f t="shared" si="3"/>
        <v>-49.5</v>
      </c>
      <c r="G49" s="193">
        <v>-25.7</v>
      </c>
      <c r="H49" s="193">
        <v>0</v>
      </c>
      <c r="I49" s="193">
        <v>0</v>
      </c>
      <c r="J49" s="193">
        <v>-23.8</v>
      </c>
      <c r="K49" s="62"/>
      <c r="L49" s="164"/>
      <c r="M49" s="162">
        <f t="shared" si="4"/>
        <v>49500</v>
      </c>
      <c r="N49" s="178">
        <v>25700</v>
      </c>
      <c r="O49" s="178">
        <v>0</v>
      </c>
      <c r="P49" s="178">
        <v>0</v>
      </c>
      <c r="Q49" s="178">
        <v>23800</v>
      </c>
      <c r="R49" s="87"/>
      <c r="T49" s="99">
        <f t="shared" si="5"/>
        <v>25700</v>
      </c>
      <c r="U49" s="99">
        <f t="shared" si="6"/>
        <v>0</v>
      </c>
      <c r="V49" s="99">
        <f t="shared" si="7"/>
        <v>0</v>
      </c>
      <c r="W49" s="99">
        <f t="shared" si="8"/>
        <v>23800</v>
      </c>
      <c r="Z49" s="216">
        <f t="shared" si="1"/>
        <v>49500</v>
      </c>
    </row>
    <row r="50" spans="1:26" s="69" customFormat="1" x14ac:dyDescent="0.25">
      <c r="A50" s="56">
        <v>16</v>
      </c>
      <c r="B50" s="63" t="s">
        <v>198</v>
      </c>
      <c r="C50" s="70">
        <v>164</v>
      </c>
      <c r="D50" s="59"/>
      <c r="E50" s="59"/>
      <c r="F50" s="192">
        <f>SUM(G50:J50)</f>
        <v>-400</v>
      </c>
      <c r="G50" s="193">
        <v>-146</v>
      </c>
      <c r="H50" s="193">
        <v>0</v>
      </c>
      <c r="I50" s="193">
        <v>0</v>
      </c>
      <c r="J50" s="193">
        <v>-254</v>
      </c>
      <c r="K50" s="62"/>
      <c r="L50" s="164"/>
      <c r="M50" s="162">
        <f t="shared" si="4"/>
        <v>400000</v>
      </c>
      <c r="N50" s="178">
        <f>372000-176000-38720-11280</f>
        <v>146000</v>
      </c>
      <c r="O50" s="178">
        <v>0</v>
      </c>
      <c r="P50" s="161">
        <v>0</v>
      </c>
      <c r="Q50" s="178">
        <v>254000</v>
      </c>
      <c r="R50" s="87"/>
      <c r="T50" s="99">
        <f t="shared" si="5"/>
        <v>146000</v>
      </c>
      <c r="U50" s="99">
        <f t="shared" si="6"/>
        <v>0</v>
      </c>
      <c r="V50" s="99">
        <f t="shared" si="7"/>
        <v>0</v>
      </c>
      <c r="W50" s="99">
        <f t="shared" si="8"/>
        <v>254000</v>
      </c>
      <c r="Z50" s="216">
        <f t="shared" si="1"/>
        <v>400000</v>
      </c>
    </row>
    <row r="51" spans="1:26" s="69" customFormat="1" ht="37.5" x14ac:dyDescent="0.25">
      <c r="A51" s="56">
        <v>17</v>
      </c>
      <c r="B51" s="57" t="s">
        <v>199</v>
      </c>
      <c r="C51" s="49">
        <v>170</v>
      </c>
      <c r="D51" s="59"/>
      <c r="E51" s="59"/>
      <c r="F51" s="192">
        <f t="shared" si="3"/>
        <v>-394</v>
      </c>
      <c r="G51" s="193">
        <v>-88</v>
      </c>
      <c r="H51" s="193">
        <v>-109</v>
      </c>
      <c r="I51" s="193">
        <v>-109</v>
      </c>
      <c r="J51" s="193">
        <v>-88</v>
      </c>
      <c r="K51" s="62"/>
      <c r="L51" s="164"/>
      <c r="M51" s="162">
        <f t="shared" si="4"/>
        <v>394000</v>
      </c>
      <c r="N51" s="161">
        <v>88000</v>
      </c>
      <c r="O51" s="161">
        <v>109000</v>
      </c>
      <c r="P51" s="161">
        <v>109000</v>
      </c>
      <c r="Q51" s="161">
        <v>88000</v>
      </c>
      <c r="R51" s="87"/>
      <c r="T51" s="99">
        <f t="shared" si="5"/>
        <v>88000</v>
      </c>
      <c r="U51" s="99">
        <f t="shared" si="6"/>
        <v>109000</v>
      </c>
      <c r="V51" s="99">
        <f t="shared" si="7"/>
        <v>109000</v>
      </c>
      <c r="W51" s="99">
        <f t="shared" si="8"/>
        <v>88000</v>
      </c>
      <c r="Z51" s="216">
        <f t="shared" si="1"/>
        <v>394000</v>
      </c>
    </row>
    <row r="52" spans="1:26" s="69" customFormat="1" x14ac:dyDescent="0.25">
      <c r="A52" s="56">
        <v>18</v>
      </c>
      <c r="B52" s="57" t="s">
        <v>200</v>
      </c>
      <c r="C52" s="49">
        <v>180</v>
      </c>
      <c r="D52" s="59"/>
      <c r="E52" s="59"/>
      <c r="F52" s="192">
        <f>SUM(G52:J52)</f>
        <v>-18761.68</v>
      </c>
      <c r="G52" s="193">
        <v>-4696.68</v>
      </c>
      <c r="H52" s="193">
        <v>-4500</v>
      </c>
      <c r="I52" s="193">
        <v>-4850</v>
      </c>
      <c r="J52" s="193">
        <v>-4715</v>
      </c>
      <c r="K52" s="62"/>
      <c r="L52" s="164"/>
      <c r="M52" s="162">
        <f t="shared" si="4"/>
        <v>18761680</v>
      </c>
      <c r="N52" s="178">
        <v>4696680</v>
      </c>
      <c r="O52" s="178">
        <f>4850000-350000</f>
        <v>4500000</v>
      </c>
      <c r="P52" s="161">
        <v>4850000</v>
      </c>
      <c r="Q52" s="178">
        <f>4850000-135000</f>
        <v>4715000</v>
      </c>
      <c r="R52" s="87"/>
      <c r="T52" s="99">
        <f t="shared" si="5"/>
        <v>4696680</v>
      </c>
      <c r="U52" s="99">
        <f t="shared" si="6"/>
        <v>4500000</v>
      </c>
      <c r="V52" s="99">
        <f t="shared" si="7"/>
        <v>4850000</v>
      </c>
      <c r="W52" s="99">
        <f t="shared" si="8"/>
        <v>4715000</v>
      </c>
      <c r="Z52" s="216">
        <f t="shared" si="1"/>
        <v>18761680</v>
      </c>
    </row>
    <row r="53" spans="1:26" s="69" customFormat="1" x14ac:dyDescent="0.25">
      <c r="A53" s="56">
        <v>19</v>
      </c>
      <c r="B53" s="57" t="s">
        <v>201</v>
      </c>
      <c r="C53" s="49">
        <v>190</v>
      </c>
      <c r="D53" s="59"/>
      <c r="E53" s="59"/>
      <c r="F53" s="192">
        <f t="shared" si="3"/>
        <v>-4132.6400000000003</v>
      </c>
      <c r="G53" s="193">
        <v>-1038.3399999999999</v>
      </c>
      <c r="H53" s="193">
        <v>-990</v>
      </c>
      <c r="I53" s="193">
        <v>-1067</v>
      </c>
      <c r="J53" s="193">
        <v>-1037.3</v>
      </c>
      <c r="K53" s="62"/>
      <c r="L53" s="164"/>
      <c r="M53" s="162">
        <f t="shared" si="4"/>
        <v>4132640</v>
      </c>
      <c r="N53" s="178">
        <v>1038340</v>
      </c>
      <c r="O53" s="178">
        <f>1067000-77000</f>
        <v>990000</v>
      </c>
      <c r="P53" s="161">
        <v>1067000</v>
      </c>
      <c r="Q53" s="178">
        <f>1067000-29700</f>
        <v>1037300</v>
      </c>
      <c r="R53" s="87"/>
      <c r="T53" s="99">
        <f t="shared" si="5"/>
        <v>1038340</v>
      </c>
      <c r="U53" s="99">
        <f t="shared" si="6"/>
        <v>990000</v>
      </c>
      <c r="V53" s="99">
        <f t="shared" si="7"/>
        <v>1067000</v>
      </c>
      <c r="W53" s="99">
        <f t="shared" si="8"/>
        <v>1037300</v>
      </c>
      <c r="Z53" s="216">
        <f t="shared" si="1"/>
        <v>4132640.0000000005</v>
      </c>
    </row>
    <row r="54" spans="1:26" s="69" customFormat="1" x14ac:dyDescent="0.25">
      <c r="A54" s="56">
        <v>20</v>
      </c>
      <c r="B54" s="57" t="s">
        <v>202</v>
      </c>
      <c r="C54" s="49">
        <v>200</v>
      </c>
      <c r="D54" s="59"/>
      <c r="E54" s="59"/>
      <c r="F54" s="192">
        <f t="shared" si="3"/>
        <v>-24</v>
      </c>
      <c r="G54" s="193">
        <v>-5</v>
      </c>
      <c r="H54" s="193">
        <v>-7</v>
      </c>
      <c r="I54" s="193">
        <v>-7</v>
      </c>
      <c r="J54" s="193">
        <v>-5</v>
      </c>
      <c r="K54" s="62"/>
      <c r="L54" s="164"/>
      <c r="M54" s="162">
        <f t="shared" si="4"/>
        <v>24000</v>
      </c>
      <c r="N54" s="161">
        <v>5000</v>
      </c>
      <c r="O54" s="161">
        <v>7000</v>
      </c>
      <c r="P54" s="161">
        <v>7000</v>
      </c>
      <c r="Q54" s="161">
        <v>5000</v>
      </c>
      <c r="R54" s="87"/>
      <c r="T54" s="99">
        <f t="shared" si="5"/>
        <v>5000</v>
      </c>
      <c r="U54" s="99">
        <f t="shared" si="6"/>
        <v>7000</v>
      </c>
      <c r="V54" s="99">
        <f t="shared" si="7"/>
        <v>7000</v>
      </c>
      <c r="W54" s="99">
        <f t="shared" si="8"/>
        <v>5000</v>
      </c>
      <c r="Z54" s="216">
        <f t="shared" si="1"/>
        <v>24000</v>
      </c>
    </row>
    <row r="55" spans="1:26" s="69" customFormat="1" x14ac:dyDescent="0.25">
      <c r="A55" s="56">
        <v>21</v>
      </c>
      <c r="B55" s="57" t="s">
        <v>203</v>
      </c>
      <c r="C55" s="49">
        <v>210</v>
      </c>
      <c r="D55" s="59"/>
      <c r="E55" s="59"/>
      <c r="F55" s="192">
        <f t="shared" si="3"/>
        <v>-24</v>
      </c>
      <c r="G55" s="193">
        <v>-4</v>
      </c>
      <c r="H55" s="193">
        <v>-8</v>
      </c>
      <c r="I55" s="193">
        <v>-8</v>
      </c>
      <c r="J55" s="193">
        <v>-4</v>
      </c>
      <c r="K55" s="62"/>
      <c r="L55" s="164"/>
      <c r="M55" s="162">
        <f t="shared" si="4"/>
        <v>24000</v>
      </c>
      <c r="N55" s="161">
        <v>4000</v>
      </c>
      <c r="O55" s="161">
        <v>8000</v>
      </c>
      <c r="P55" s="161">
        <v>8000</v>
      </c>
      <c r="Q55" s="161">
        <v>4000</v>
      </c>
      <c r="R55" s="87"/>
      <c r="T55" s="99">
        <f t="shared" si="5"/>
        <v>4000</v>
      </c>
      <c r="U55" s="99">
        <f t="shared" si="6"/>
        <v>8000</v>
      </c>
      <c r="V55" s="99">
        <f t="shared" si="7"/>
        <v>8000</v>
      </c>
      <c r="W55" s="99">
        <f t="shared" si="8"/>
        <v>4000</v>
      </c>
      <c r="Z55" s="216">
        <f t="shared" si="1"/>
        <v>24000</v>
      </c>
    </row>
    <row r="56" spans="1:26" s="69" customFormat="1" ht="42" customHeight="1" x14ac:dyDescent="0.25">
      <c r="A56" s="56">
        <v>22</v>
      </c>
      <c r="B56" s="57" t="s">
        <v>204</v>
      </c>
      <c r="C56" s="49">
        <v>220</v>
      </c>
      <c r="D56" s="59"/>
      <c r="E56" s="59"/>
      <c r="F56" s="192">
        <f t="shared" si="3"/>
        <v>0</v>
      </c>
      <c r="G56" s="193">
        <v>0</v>
      </c>
      <c r="H56" s="193">
        <v>0</v>
      </c>
      <c r="I56" s="193">
        <v>0</v>
      </c>
      <c r="J56" s="193">
        <v>0</v>
      </c>
      <c r="K56" s="62" t="s">
        <v>188</v>
      </c>
      <c r="L56" s="87"/>
      <c r="M56" s="159"/>
      <c r="N56" s="87"/>
      <c r="O56" s="87"/>
      <c r="P56" s="87"/>
      <c r="Q56" s="87"/>
      <c r="R56" s="87"/>
      <c r="T56" s="99">
        <f t="shared" si="5"/>
        <v>0</v>
      </c>
      <c r="U56" s="99">
        <f t="shared" si="6"/>
        <v>0</v>
      </c>
      <c r="V56" s="99">
        <f t="shared" si="7"/>
        <v>0</v>
      </c>
      <c r="W56" s="99">
        <f t="shared" si="8"/>
        <v>0</v>
      </c>
      <c r="Z56" s="216">
        <f t="shared" si="1"/>
        <v>0</v>
      </c>
    </row>
    <row r="57" spans="1:26" s="69" customFormat="1" ht="41.25" customHeight="1" x14ac:dyDescent="0.25">
      <c r="A57" s="56">
        <v>23</v>
      </c>
      <c r="B57" s="57" t="s">
        <v>205</v>
      </c>
      <c r="C57" s="49">
        <v>230</v>
      </c>
      <c r="D57" s="59"/>
      <c r="E57" s="59"/>
      <c r="F57" s="192">
        <f t="shared" si="3"/>
        <v>-300</v>
      </c>
      <c r="G57" s="193">
        <v>-62.7</v>
      </c>
      <c r="H57" s="193">
        <v>-192</v>
      </c>
      <c r="I57" s="193">
        <v>-45.3</v>
      </c>
      <c r="J57" s="193">
        <v>0</v>
      </c>
      <c r="K57" s="62" t="s">
        <v>206</v>
      </c>
      <c r="L57" s="164"/>
      <c r="M57" s="162">
        <f>N57+O57+P57+Q57</f>
        <v>300000</v>
      </c>
      <c r="N57" s="178">
        <v>62700</v>
      </c>
      <c r="O57" s="178">
        <v>192000</v>
      </c>
      <c r="P57" s="178">
        <v>45300</v>
      </c>
      <c r="Q57" s="161">
        <v>0</v>
      </c>
      <c r="R57" s="87"/>
      <c r="T57" s="99">
        <f t="shared" si="5"/>
        <v>62700</v>
      </c>
      <c r="U57" s="99">
        <f t="shared" si="6"/>
        <v>192000</v>
      </c>
      <c r="V57" s="99">
        <f t="shared" si="7"/>
        <v>45300</v>
      </c>
      <c r="W57" s="99">
        <f t="shared" si="8"/>
        <v>0</v>
      </c>
      <c r="Z57" s="216">
        <f t="shared" si="1"/>
        <v>300000</v>
      </c>
    </row>
    <row r="58" spans="1:26" s="69" customFormat="1" x14ac:dyDescent="0.25">
      <c r="A58" s="56">
        <v>24</v>
      </c>
      <c r="B58" s="57" t="s">
        <v>207</v>
      </c>
      <c r="C58" s="49">
        <v>240</v>
      </c>
      <c r="D58" s="59"/>
      <c r="E58" s="59"/>
      <c r="F58" s="192">
        <f t="shared" si="3"/>
        <v>0</v>
      </c>
      <c r="G58" s="193">
        <v>0</v>
      </c>
      <c r="H58" s="193">
        <v>0</v>
      </c>
      <c r="I58" s="193">
        <v>0</v>
      </c>
      <c r="J58" s="193">
        <v>0</v>
      </c>
      <c r="K58" s="62"/>
      <c r="L58" s="87"/>
      <c r="M58" s="159"/>
      <c r="N58" s="87"/>
      <c r="O58" s="87"/>
      <c r="P58" s="87"/>
      <c r="Q58" s="87"/>
      <c r="R58" s="87"/>
      <c r="T58" s="99">
        <f t="shared" si="5"/>
        <v>0</v>
      </c>
      <c r="U58" s="99">
        <f t="shared" si="6"/>
        <v>0</v>
      </c>
      <c r="V58" s="99">
        <f t="shared" si="7"/>
        <v>0</v>
      </c>
      <c r="W58" s="99">
        <f t="shared" si="8"/>
        <v>0</v>
      </c>
      <c r="Z58" s="216">
        <f t="shared" si="1"/>
        <v>0</v>
      </c>
    </row>
    <row r="59" spans="1:26" s="69" customFormat="1" ht="20.25" customHeight="1" x14ac:dyDescent="0.25">
      <c r="A59" s="56">
        <v>25</v>
      </c>
      <c r="B59" s="57" t="s">
        <v>286</v>
      </c>
      <c r="C59" s="58">
        <v>250</v>
      </c>
      <c r="D59" s="59"/>
      <c r="E59" s="59"/>
      <c r="F59" s="192">
        <f t="shared" si="3"/>
        <v>0</v>
      </c>
      <c r="G59" s="193">
        <v>0</v>
      </c>
      <c r="H59" s="193">
        <v>0</v>
      </c>
      <c r="I59" s="193">
        <v>0</v>
      </c>
      <c r="J59" s="193">
        <v>0</v>
      </c>
      <c r="K59" s="62" t="s">
        <v>209</v>
      </c>
      <c r="L59" s="87"/>
      <c r="M59" s="159"/>
      <c r="N59" s="87"/>
      <c r="O59" s="87"/>
      <c r="P59" s="87"/>
      <c r="Q59" s="87"/>
      <c r="R59" s="87"/>
      <c r="T59" s="99">
        <f t="shared" si="5"/>
        <v>0</v>
      </c>
      <c r="U59" s="99">
        <f t="shared" si="6"/>
        <v>0</v>
      </c>
      <c r="V59" s="99">
        <f t="shared" si="7"/>
        <v>0</v>
      </c>
      <c r="W59" s="99">
        <f t="shared" si="8"/>
        <v>0</v>
      </c>
      <c r="Z59" s="216">
        <f t="shared" si="1"/>
        <v>0</v>
      </c>
    </row>
    <row r="60" spans="1:26" x14ac:dyDescent="0.25">
      <c r="A60" s="56">
        <v>26</v>
      </c>
      <c r="B60" s="57" t="s">
        <v>210</v>
      </c>
      <c r="C60" s="58">
        <v>260</v>
      </c>
      <c r="D60" s="65">
        <f>SUM(D61:D69,D71)</f>
        <v>0</v>
      </c>
      <c r="E60" s="65">
        <f>SUM(E61:E69,E71)</f>
        <v>0</v>
      </c>
      <c r="F60" s="194">
        <f t="shared" si="3"/>
        <v>-4990.4560000000001</v>
      </c>
      <c r="G60" s="192">
        <f>SUM(G61:G71)</f>
        <v>-1229.3710000000001</v>
      </c>
      <c r="H60" s="192">
        <f>SUM(H61:H71)</f>
        <v>-1116.249</v>
      </c>
      <c r="I60" s="192">
        <f>SUM(I61:I71)</f>
        <v>-1294.4237400000002</v>
      </c>
      <c r="J60" s="192">
        <f>SUM(J61:J71)</f>
        <v>-1350.4122600000001</v>
      </c>
      <c r="K60" s="62"/>
      <c r="L60" s="87"/>
      <c r="M60" s="159"/>
      <c r="N60" s="210" t="s">
        <v>456</v>
      </c>
      <c r="O60" s="87"/>
      <c r="P60" s="87"/>
      <c r="Q60" s="87"/>
      <c r="R60" s="87"/>
      <c r="T60" s="214">
        <f>T61+T62+T63+T64+T65+T66+T67+T68+T69+T70+T71</f>
        <v>1229371</v>
      </c>
      <c r="U60" s="214">
        <f>U61+U62+U63+U64+U65+U66+U67+U68+U69+U70+U71</f>
        <v>1116249</v>
      </c>
      <c r="V60" s="214">
        <f>V61+V62+V63+V64+V65+V66+V67+V68+V69+V70+V71</f>
        <v>1294423.74</v>
      </c>
      <c r="W60" s="214">
        <f>W61+W62+W63+W64+W65+W66+W67+W68+W69+W70+W71</f>
        <v>1350412.76</v>
      </c>
      <c r="Z60" s="216">
        <f t="shared" si="1"/>
        <v>4990456</v>
      </c>
    </row>
    <row r="61" spans="1:26" ht="56.25" x14ac:dyDescent="0.25">
      <c r="A61" s="56">
        <v>27</v>
      </c>
      <c r="B61" s="63" t="s">
        <v>211</v>
      </c>
      <c r="C61" s="64">
        <v>261</v>
      </c>
      <c r="D61" s="59"/>
      <c r="E61" s="59"/>
      <c r="F61" s="192">
        <f t="shared" si="3"/>
        <v>-323.17499999999995</v>
      </c>
      <c r="G61" s="193">
        <v>-84.45</v>
      </c>
      <c r="H61" s="193">
        <v>-45</v>
      </c>
      <c r="I61" s="193">
        <v>-103</v>
      </c>
      <c r="J61" s="193">
        <v>-90.724999999999994</v>
      </c>
      <c r="K61" s="62"/>
      <c r="L61" s="164"/>
      <c r="M61" s="162">
        <f t="shared" ref="M61:M69" si="9">N61+O61+P61+Q61</f>
        <v>323175.5</v>
      </c>
      <c r="N61" s="161">
        <f>16500+67950</f>
        <v>84450</v>
      </c>
      <c r="O61" s="161">
        <f>19000+26000</f>
        <v>45000</v>
      </c>
      <c r="P61" s="161">
        <f>19000+84000</f>
        <v>103000</v>
      </c>
      <c r="Q61" s="161">
        <f>17000+73725.5</f>
        <v>90725.5</v>
      </c>
      <c r="R61" s="87"/>
      <c r="T61" s="169">
        <f>N61</f>
        <v>84450</v>
      </c>
      <c r="U61" s="169">
        <f>O61</f>
        <v>45000</v>
      </c>
      <c r="V61" s="169">
        <f>P61</f>
        <v>103000</v>
      </c>
      <c r="W61" s="169">
        <f>Q61</f>
        <v>90725.5</v>
      </c>
      <c r="Z61" s="216">
        <f t="shared" si="1"/>
        <v>323174.99999999994</v>
      </c>
    </row>
    <row r="62" spans="1:26" ht="42" customHeight="1" x14ac:dyDescent="0.25">
      <c r="A62" s="56">
        <v>28</v>
      </c>
      <c r="B62" s="63" t="s">
        <v>199</v>
      </c>
      <c r="C62" s="64">
        <v>262</v>
      </c>
      <c r="D62" s="59"/>
      <c r="E62" s="59"/>
      <c r="F62" s="192">
        <f t="shared" si="3"/>
        <v>-246</v>
      </c>
      <c r="G62" s="193">
        <v>-34.5</v>
      </c>
      <c r="H62" s="193">
        <v>-74</v>
      </c>
      <c r="I62" s="193">
        <v>-55.5</v>
      </c>
      <c r="J62" s="193">
        <v>-82</v>
      </c>
      <c r="K62" s="62" t="s">
        <v>212</v>
      </c>
      <c r="L62" s="164"/>
      <c r="M62" s="162">
        <f t="shared" si="9"/>
        <v>246000</v>
      </c>
      <c r="N62" s="161">
        <v>34500</v>
      </c>
      <c r="O62" s="161">
        <f>28500+45500</f>
        <v>74000</v>
      </c>
      <c r="P62" s="161">
        <f>28500+27000</f>
        <v>55500</v>
      </c>
      <c r="Q62" s="161">
        <f>28500+53500</f>
        <v>82000</v>
      </c>
      <c r="R62" s="87"/>
      <c r="T62" s="169">
        <f t="shared" ref="T62:T71" si="10">N62</f>
        <v>34500</v>
      </c>
      <c r="U62" s="169">
        <f t="shared" ref="U62:U71" si="11">O62</f>
        <v>74000</v>
      </c>
      <c r="V62" s="169">
        <f t="shared" ref="V62:V71" si="12">P62</f>
        <v>55500</v>
      </c>
      <c r="W62" s="169">
        <f t="shared" ref="W62:W71" si="13">Q62</f>
        <v>82000</v>
      </c>
      <c r="Z62" s="216">
        <f t="shared" si="1"/>
        <v>246000</v>
      </c>
    </row>
    <row r="63" spans="1:26" s="69" customFormat="1" ht="22.5" customHeight="1" x14ac:dyDescent="0.25">
      <c r="A63" s="56">
        <v>29</v>
      </c>
      <c r="B63" s="63" t="s">
        <v>213</v>
      </c>
      <c r="C63" s="64">
        <v>263</v>
      </c>
      <c r="D63" s="59"/>
      <c r="E63" s="59"/>
      <c r="F63" s="192">
        <f t="shared" si="3"/>
        <v>-6</v>
      </c>
      <c r="G63" s="193">
        <v>-1.5</v>
      </c>
      <c r="H63" s="193">
        <v>-1.5</v>
      </c>
      <c r="I63" s="193">
        <v>-1.5</v>
      </c>
      <c r="J63" s="193">
        <v>-1.5</v>
      </c>
      <c r="K63" s="62" t="s">
        <v>214</v>
      </c>
      <c r="L63" s="164"/>
      <c r="M63" s="162">
        <f t="shared" si="9"/>
        <v>6000</v>
      </c>
      <c r="N63" s="161">
        <v>1500</v>
      </c>
      <c r="O63" s="161">
        <v>1500</v>
      </c>
      <c r="P63" s="161">
        <v>1500</v>
      </c>
      <c r="Q63" s="161">
        <v>1500</v>
      </c>
      <c r="R63" s="87"/>
      <c r="T63" s="169">
        <f t="shared" si="10"/>
        <v>1500</v>
      </c>
      <c r="U63" s="169">
        <f t="shared" si="11"/>
        <v>1500</v>
      </c>
      <c r="V63" s="169">
        <f t="shared" si="12"/>
        <v>1500</v>
      </c>
      <c r="W63" s="169">
        <f t="shared" si="13"/>
        <v>1500</v>
      </c>
      <c r="Z63" s="216">
        <f t="shared" si="1"/>
        <v>6000</v>
      </c>
    </row>
    <row r="64" spans="1:26" s="69" customFormat="1" x14ac:dyDescent="0.25">
      <c r="A64" s="56">
        <v>30</v>
      </c>
      <c r="B64" s="63" t="s">
        <v>215</v>
      </c>
      <c r="C64" s="64">
        <v>264</v>
      </c>
      <c r="D64" s="59"/>
      <c r="E64" s="59"/>
      <c r="F64" s="192">
        <f t="shared" si="3"/>
        <v>-3446.0361600000001</v>
      </c>
      <c r="G64" s="193">
        <v>-843.16242</v>
      </c>
      <c r="H64" s="193">
        <v>-800</v>
      </c>
      <c r="I64" s="193">
        <v>-903.02373999999998</v>
      </c>
      <c r="J64" s="193">
        <v>-899.85</v>
      </c>
      <c r="K64" s="62"/>
      <c r="L64" s="164"/>
      <c r="M64" s="162">
        <f t="shared" si="9"/>
        <v>3446036.16</v>
      </c>
      <c r="N64" s="178">
        <f>843100-201131.58+25194+176000</f>
        <v>843162.42</v>
      </c>
      <c r="O64" s="178">
        <f>850000-50000</f>
        <v>800000</v>
      </c>
      <c r="P64" s="178">
        <f>900000+3023.74</f>
        <v>903023.74</v>
      </c>
      <c r="Q64" s="178">
        <f>900000-150</f>
        <v>899850</v>
      </c>
      <c r="R64" s="87"/>
      <c r="S64" s="161"/>
      <c r="T64" s="169">
        <f t="shared" si="10"/>
        <v>843162.42</v>
      </c>
      <c r="U64" s="169">
        <f t="shared" si="11"/>
        <v>800000</v>
      </c>
      <c r="V64" s="169">
        <f t="shared" si="12"/>
        <v>903023.74</v>
      </c>
      <c r="W64" s="169">
        <f t="shared" si="13"/>
        <v>899850</v>
      </c>
      <c r="Z64" s="216">
        <f t="shared" si="1"/>
        <v>3446036.16</v>
      </c>
    </row>
    <row r="65" spans="1:26" s="69" customFormat="1" x14ac:dyDescent="0.25">
      <c r="A65" s="56">
        <v>31</v>
      </c>
      <c r="B65" s="63" t="s">
        <v>216</v>
      </c>
      <c r="C65" s="64">
        <v>265</v>
      </c>
      <c r="D65" s="59"/>
      <c r="E65" s="59"/>
      <c r="F65" s="192">
        <f t="shared" si="3"/>
        <v>-742.64484000000004</v>
      </c>
      <c r="G65" s="193">
        <v>-185.85857999999999</v>
      </c>
      <c r="H65" s="193">
        <v>-160.84899999999999</v>
      </c>
      <c r="I65" s="193">
        <v>-198</v>
      </c>
      <c r="J65" s="193">
        <v>-197.93726000000001</v>
      </c>
      <c r="K65" s="62"/>
      <c r="L65" s="164"/>
      <c r="M65" s="162">
        <f t="shared" si="9"/>
        <v>742644.84000000008</v>
      </c>
      <c r="N65" s="178">
        <f>185482-56729.42+7106+38720+11280</f>
        <v>185858.58000000002</v>
      </c>
      <c r="O65" s="178">
        <f>187000-11000-15151</f>
        <v>160849</v>
      </c>
      <c r="P65" s="161">
        <v>198000</v>
      </c>
      <c r="Q65" s="178">
        <f>198000-62.74</f>
        <v>197937.26</v>
      </c>
      <c r="R65" s="87"/>
      <c r="S65" s="161"/>
      <c r="T65" s="169">
        <f t="shared" si="10"/>
        <v>185858.58000000002</v>
      </c>
      <c r="U65" s="169">
        <f t="shared" si="11"/>
        <v>160849</v>
      </c>
      <c r="V65" s="169">
        <f t="shared" si="12"/>
        <v>198000</v>
      </c>
      <c r="W65" s="169">
        <f t="shared" si="13"/>
        <v>197937.26</v>
      </c>
      <c r="Z65" s="216">
        <f t="shared" si="1"/>
        <v>742644.84000000008</v>
      </c>
    </row>
    <row r="66" spans="1:26" s="69" customFormat="1" ht="21" customHeight="1" x14ac:dyDescent="0.25">
      <c r="A66" s="56">
        <v>32</v>
      </c>
      <c r="B66" s="63" t="s">
        <v>195</v>
      </c>
      <c r="C66" s="64">
        <v>266</v>
      </c>
      <c r="D66" s="59"/>
      <c r="E66" s="59"/>
      <c r="F66" s="192">
        <f t="shared" si="3"/>
        <v>-167</v>
      </c>
      <c r="G66" s="193">
        <v>-63</v>
      </c>
      <c r="H66" s="193">
        <v>-20.5</v>
      </c>
      <c r="I66" s="193">
        <v>-20.5</v>
      </c>
      <c r="J66" s="193">
        <v>-63</v>
      </c>
      <c r="K66" s="62" t="s">
        <v>217</v>
      </c>
      <c r="L66" s="164"/>
      <c r="M66" s="162">
        <f t="shared" si="9"/>
        <v>167000</v>
      </c>
      <c r="N66" s="161">
        <v>63000</v>
      </c>
      <c r="O66" s="161">
        <v>20500</v>
      </c>
      <c r="P66" s="161">
        <v>20500</v>
      </c>
      <c r="Q66" s="161">
        <v>63000</v>
      </c>
      <c r="R66" s="87"/>
      <c r="T66" s="169">
        <f t="shared" si="10"/>
        <v>63000</v>
      </c>
      <c r="U66" s="169">
        <f t="shared" si="11"/>
        <v>20500</v>
      </c>
      <c r="V66" s="169">
        <f t="shared" si="12"/>
        <v>20500</v>
      </c>
      <c r="W66" s="169">
        <f t="shared" si="13"/>
        <v>63000</v>
      </c>
      <c r="Z66" s="216">
        <f t="shared" si="1"/>
        <v>167000</v>
      </c>
    </row>
    <row r="67" spans="1:26" s="69" customFormat="1" x14ac:dyDescent="0.25">
      <c r="A67" s="56">
        <v>33</v>
      </c>
      <c r="B67" s="63" t="s">
        <v>196</v>
      </c>
      <c r="C67" s="64">
        <v>267</v>
      </c>
      <c r="D67" s="59"/>
      <c r="E67" s="59"/>
      <c r="F67" s="192">
        <f t="shared" si="3"/>
        <v>-3.6</v>
      </c>
      <c r="G67" s="193">
        <v>-0.9</v>
      </c>
      <c r="H67" s="193">
        <v>-0.9</v>
      </c>
      <c r="I67" s="193">
        <v>-0.9</v>
      </c>
      <c r="J67" s="193">
        <v>-0.9</v>
      </c>
      <c r="K67" s="62"/>
      <c r="L67" s="164"/>
      <c r="M67" s="162">
        <f t="shared" si="9"/>
        <v>3600</v>
      </c>
      <c r="N67" s="161">
        <v>900</v>
      </c>
      <c r="O67" s="161">
        <v>900</v>
      </c>
      <c r="P67" s="161">
        <v>900</v>
      </c>
      <c r="Q67" s="161">
        <v>900</v>
      </c>
      <c r="R67" s="87"/>
      <c r="T67" s="169">
        <f t="shared" si="10"/>
        <v>900</v>
      </c>
      <c r="U67" s="169">
        <f t="shared" si="11"/>
        <v>900</v>
      </c>
      <c r="V67" s="169">
        <f t="shared" si="12"/>
        <v>900</v>
      </c>
      <c r="W67" s="169">
        <f t="shared" si="13"/>
        <v>900</v>
      </c>
      <c r="Z67" s="216">
        <f t="shared" si="1"/>
        <v>3600</v>
      </c>
    </row>
    <row r="68" spans="1:26" s="69" customFormat="1" x14ac:dyDescent="0.25">
      <c r="A68" s="56">
        <v>34</v>
      </c>
      <c r="B68" s="57" t="s">
        <v>193</v>
      </c>
      <c r="C68" s="64">
        <v>268</v>
      </c>
      <c r="D68" s="59"/>
      <c r="E68" s="59"/>
      <c r="F68" s="192">
        <f t="shared" si="3"/>
        <v>-42</v>
      </c>
      <c r="G68" s="193">
        <v>-11</v>
      </c>
      <c r="H68" s="193">
        <v>-10</v>
      </c>
      <c r="I68" s="193">
        <v>-10</v>
      </c>
      <c r="J68" s="193">
        <v>-11</v>
      </c>
      <c r="K68" s="62"/>
      <c r="L68" s="164"/>
      <c r="M68" s="162">
        <f t="shared" si="9"/>
        <v>42000</v>
      </c>
      <c r="N68" s="161">
        <v>11000</v>
      </c>
      <c r="O68" s="161">
        <v>10000</v>
      </c>
      <c r="P68" s="161">
        <v>10000</v>
      </c>
      <c r="Q68" s="161">
        <v>11000</v>
      </c>
      <c r="R68" s="87"/>
      <c r="T68" s="169">
        <f t="shared" si="10"/>
        <v>11000</v>
      </c>
      <c r="U68" s="169">
        <f t="shared" si="11"/>
        <v>10000</v>
      </c>
      <c r="V68" s="169">
        <f t="shared" si="12"/>
        <v>10000</v>
      </c>
      <c r="W68" s="169">
        <f t="shared" si="13"/>
        <v>11000</v>
      </c>
      <c r="Z68" s="216">
        <f t="shared" si="1"/>
        <v>42000</v>
      </c>
    </row>
    <row r="69" spans="1:26" s="69" customFormat="1" ht="21" customHeight="1" x14ac:dyDescent="0.25">
      <c r="A69" s="56">
        <v>35</v>
      </c>
      <c r="B69" s="57" t="s">
        <v>203</v>
      </c>
      <c r="C69" s="64">
        <v>269</v>
      </c>
      <c r="D69" s="59"/>
      <c r="E69" s="59"/>
      <c r="F69" s="192">
        <f t="shared" si="3"/>
        <v>-6</v>
      </c>
      <c r="G69" s="193">
        <v>-3</v>
      </c>
      <c r="H69" s="193">
        <v>-1.5</v>
      </c>
      <c r="I69" s="193">
        <v>0</v>
      </c>
      <c r="J69" s="193">
        <v>-1.5</v>
      </c>
      <c r="K69" s="62" t="s">
        <v>218</v>
      </c>
      <c r="L69" s="164"/>
      <c r="M69" s="162">
        <f t="shared" si="9"/>
        <v>6000</v>
      </c>
      <c r="N69" s="161">
        <v>3000</v>
      </c>
      <c r="O69" s="161">
        <v>1500</v>
      </c>
      <c r="P69" s="161">
        <v>0</v>
      </c>
      <c r="Q69" s="161">
        <v>1500</v>
      </c>
      <c r="R69" s="87"/>
      <c r="T69" s="169">
        <f t="shared" si="10"/>
        <v>3000</v>
      </c>
      <c r="U69" s="169">
        <f t="shared" si="11"/>
        <v>1500</v>
      </c>
      <c r="V69" s="169">
        <f t="shared" si="12"/>
        <v>0</v>
      </c>
      <c r="W69" s="169">
        <f t="shared" si="13"/>
        <v>1500</v>
      </c>
      <c r="Z69" s="216">
        <f t="shared" si="1"/>
        <v>6000</v>
      </c>
    </row>
    <row r="70" spans="1:26" s="69" customFormat="1" x14ac:dyDescent="0.25">
      <c r="A70" s="56">
        <v>36</v>
      </c>
      <c r="B70" s="57" t="s">
        <v>219</v>
      </c>
      <c r="C70" s="58">
        <v>270</v>
      </c>
      <c r="D70" s="59"/>
      <c r="E70" s="59"/>
      <c r="F70" s="192">
        <f>SUM(G70:J70)</f>
        <v>0</v>
      </c>
      <c r="G70" s="193">
        <v>0</v>
      </c>
      <c r="H70" s="193">
        <v>0</v>
      </c>
      <c r="I70" s="193">
        <v>0</v>
      </c>
      <c r="J70" s="193">
        <v>0</v>
      </c>
      <c r="K70" s="62"/>
      <c r="L70" s="87"/>
      <c r="M70" s="159"/>
      <c r="N70" s="87"/>
      <c r="O70" s="87"/>
      <c r="P70" s="87"/>
      <c r="Q70" s="87"/>
      <c r="R70" s="87"/>
      <c r="T70" s="169">
        <f t="shared" si="10"/>
        <v>0</v>
      </c>
      <c r="U70" s="169">
        <f t="shared" si="11"/>
        <v>0</v>
      </c>
      <c r="V70" s="169">
        <f t="shared" si="12"/>
        <v>0</v>
      </c>
      <c r="W70" s="169">
        <f t="shared" si="13"/>
        <v>0</v>
      </c>
      <c r="Z70" s="216">
        <f t="shared" si="1"/>
        <v>0</v>
      </c>
    </row>
    <row r="71" spans="1:26" s="69" customFormat="1" ht="37.5" x14ac:dyDescent="0.25">
      <c r="A71" s="56">
        <v>37</v>
      </c>
      <c r="B71" s="57" t="s">
        <v>287</v>
      </c>
      <c r="C71" s="58">
        <v>280</v>
      </c>
      <c r="D71" s="59"/>
      <c r="E71" s="59"/>
      <c r="F71" s="192">
        <f t="shared" si="3"/>
        <v>-8</v>
      </c>
      <c r="G71" s="193">
        <v>-2</v>
      </c>
      <c r="H71" s="193">
        <v>-2</v>
      </c>
      <c r="I71" s="193">
        <v>-2</v>
      </c>
      <c r="J71" s="193">
        <v>-2</v>
      </c>
      <c r="K71" s="62"/>
      <c r="L71" s="164"/>
      <c r="M71" s="162">
        <f>N71+O71+P71+Q71</f>
        <v>8000</v>
      </c>
      <c r="N71" s="161">
        <v>2000</v>
      </c>
      <c r="O71" s="161">
        <v>2000</v>
      </c>
      <c r="P71" s="161">
        <v>2000</v>
      </c>
      <c r="Q71" s="161">
        <v>2000</v>
      </c>
      <c r="R71" s="87"/>
      <c r="T71" s="169">
        <f t="shared" si="10"/>
        <v>2000</v>
      </c>
      <c r="U71" s="169">
        <f t="shared" si="11"/>
        <v>2000</v>
      </c>
      <c r="V71" s="169">
        <f t="shared" si="12"/>
        <v>2000</v>
      </c>
      <c r="W71" s="169">
        <f t="shared" si="13"/>
        <v>2000</v>
      </c>
      <c r="Z71" s="216">
        <f t="shared" si="1"/>
        <v>8000</v>
      </c>
    </row>
    <row r="72" spans="1:26" s="69" customFormat="1" x14ac:dyDescent="0.25">
      <c r="A72" s="56">
        <v>38</v>
      </c>
      <c r="B72" s="57" t="s">
        <v>220</v>
      </c>
      <c r="C72" s="58">
        <v>290</v>
      </c>
      <c r="D72" s="67"/>
      <c r="E72" s="67"/>
      <c r="F72" s="192">
        <f t="shared" si="3"/>
        <v>0</v>
      </c>
      <c r="G72" s="195">
        <f>SUM(G73:G74)</f>
        <v>0</v>
      </c>
      <c r="H72" s="195">
        <f>SUM(H73:H74)</f>
        <v>0</v>
      </c>
      <c r="I72" s="195">
        <f>SUM(I73:I74)</f>
        <v>0</v>
      </c>
      <c r="J72" s="195">
        <f>SUM(J73:J74)</f>
        <v>0</v>
      </c>
      <c r="K72" s="62"/>
      <c r="L72" s="87"/>
      <c r="M72" s="159"/>
      <c r="N72" s="210" t="s">
        <v>457</v>
      </c>
      <c r="O72" s="87"/>
      <c r="P72" s="87"/>
      <c r="Q72" s="87"/>
      <c r="R72" s="87"/>
      <c r="T72" s="213">
        <f>T73+T74</f>
        <v>0</v>
      </c>
      <c r="U72" s="213">
        <f>U73+U74</f>
        <v>0</v>
      </c>
      <c r="V72" s="213">
        <f>V73+V74</f>
        <v>0</v>
      </c>
      <c r="W72" s="213">
        <f>W73+W74</f>
        <v>0</v>
      </c>
      <c r="Z72" s="216">
        <f t="shared" si="1"/>
        <v>0</v>
      </c>
    </row>
    <row r="73" spans="1:26" s="69" customFormat="1" x14ac:dyDescent="0.25">
      <c r="A73" s="56">
        <v>39</v>
      </c>
      <c r="B73" s="63" t="s">
        <v>221</v>
      </c>
      <c r="C73" s="73">
        <v>291</v>
      </c>
      <c r="D73" s="59"/>
      <c r="E73" s="59"/>
      <c r="F73" s="192">
        <f t="shared" si="3"/>
        <v>0</v>
      </c>
      <c r="G73" s="193">
        <v>0</v>
      </c>
      <c r="H73" s="193">
        <v>0</v>
      </c>
      <c r="I73" s="193">
        <v>0</v>
      </c>
      <c r="J73" s="193">
        <v>0</v>
      </c>
      <c r="K73" s="62"/>
      <c r="L73" s="87"/>
      <c r="M73" s="159"/>
      <c r="N73" s="87"/>
      <c r="O73" s="87"/>
      <c r="P73" s="87"/>
      <c r="Q73" s="87"/>
      <c r="R73" s="87"/>
      <c r="T73" s="215">
        <f t="shared" ref="T73:W76" si="14">N73</f>
        <v>0</v>
      </c>
      <c r="U73" s="215">
        <f t="shared" si="14"/>
        <v>0</v>
      </c>
      <c r="V73" s="215">
        <f t="shared" si="14"/>
        <v>0</v>
      </c>
      <c r="W73" s="215">
        <f t="shared" si="14"/>
        <v>0</v>
      </c>
      <c r="Z73" s="216">
        <f t="shared" si="1"/>
        <v>0</v>
      </c>
    </row>
    <row r="74" spans="1:26" s="69" customFormat="1" ht="18" customHeight="1" x14ac:dyDescent="0.25">
      <c r="A74" s="56">
        <v>40</v>
      </c>
      <c r="B74" s="63" t="s">
        <v>222</v>
      </c>
      <c r="C74" s="73">
        <v>292</v>
      </c>
      <c r="D74" s="59"/>
      <c r="E74" s="59"/>
      <c r="F74" s="192">
        <f t="shared" si="3"/>
        <v>0</v>
      </c>
      <c r="G74" s="193">
        <v>0</v>
      </c>
      <c r="H74" s="193">
        <v>0</v>
      </c>
      <c r="I74" s="193">
        <v>0</v>
      </c>
      <c r="J74" s="193">
        <v>0</v>
      </c>
      <c r="K74" s="62" t="s">
        <v>223</v>
      </c>
      <c r="L74" s="87"/>
      <c r="M74" s="159"/>
      <c r="N74" s="87"/>
      <c r="O74" s="87"/>
      <c r="P74" s="87"/>
      <c r="Q74" s="87"/>
      <c r="R74" s="87"/>
      <c r="T74" s="215">
        <f t="shared" si="14"/>
        <v>0</v>
      </c>
      <c r="U74" s="215">
        <f t="shared" si="14"/>
        <v>0</v>
      </c>
      <c r="V74" s="215">
        <f t="shared" si="14"/>
        <v>0</v>
      </c>
      <c r="W74" s="215">
        <f t="shared" si="14"/>
        <v>0</v>
      </c>
      <c r="Z74" s="216">
        <f t="shared" si="1"/>
        <v>0</v>
      </c>
    </row>
    <row r="75" spans="1:26" s="69" customFormat="1" ht="37.5" x14ac:dyDescent="0.25">
      <c r="A75" s="56">
        <v>41</v>
      </c>
      <c r="B75" s="57" t="s">
        <v>224</v>
      </c>
      <c r="C75" s="40">
        <v>300</v>
      </c>
      <c r="D75" s="59"/>
      <c r="E75" s="59"/>
      <c r="F75" s="192">
        <f t="shared" si="3"/>
        <v>-30</v>
      </c>
      <c r="G75" s="197">
        <v>0</v>
      </c>
      <c r="H75" s="197">
        <v>0</v>
      </c>
      <c r="I75" s="197">
        <v>0</v>
      </c>
      <c r="J75" s="197">
        <v>-30</v>
      </c>
      <c r="K75" s="62"/>
      <c r="L75" s="164"/>
      <c r="M75" s="162">
        <f>N75+O75+P75+Q75</f>
        <v>30000</v>
      </c>
      <c r="N75" s="161"/>
      <c r="O75" s="161"/>
      <c r="P75" s="161"/>
      <c r="Q75" s="161">
        <v>30000</v>
      </c>
      <c r="R75" s="87"/>
      <c r="T75" s="215">
        <f t="shared" si="14"/>
        <v>0</v>
      </c>
      <c r="U75" s="215">
        <f t="shared" si="14"/>
        <v>0</v>
      </c>
      <c r="V75" s="215">
        <f t="shared" si="14"/>
        <v>0</v>
      </c>
      <c r="W75" s="215">
        <f t="shared" si="14"/>
        <v>30000</v>
      </c>
      <c r="Z75" s="216">
        <f t="shared" si="1"/>
        <v>30000</v>
      </c>
    </row>
    <row r="76" spans="1:26" s="69" customFormat="1" x14ac:dyDescent="0.25">
      <c r="A76" s="56">
        <v>42</v>
      </c>
      <c r="B76" s="74" t="s">
        <v>225</v>
      </c>
      <c r="C76" s="75"/>
      <c r="D76" s="75"/>
      <c r="E76" s="75"/>
      <c r="F76" s="75"/>
      <c r="G76" s="75"/>
      <c r="H76" s="75"/>
      <c r="I76" s="75"/>
      <c r="J76" s="76"/>
      <c r="K76" s="62"/>
      <c r="L76" s="87"/>
      <c r="M76" s="159"/>
      <c r="N76" s="87"/>
      <c r="O76" s="87"/>
      <c r="P76" s="87"/>
      <c r="Q76" s="87"/>
      <c r="R76" s="87"/>
      <c r="T76" s="215">
        <f t="shared" si="14"/>
        <v>0</v>
      </c>
      <c r="U76" s="215">
        <f t="shared" si="14"/>
        <v>0</v>
      </c>
      <c r="V76" s="215">
        <f t="shared" si="14"/>
        <v>0</v>
      </c>
      <c r="W76" s="215">
        <f t="shared" si="14"/>
        <v>0</v>
      </c>
      <c r="Z76" s="216">
        <f t="shared" si="1"/>
        <v>0</v>
      </c>
    </row>
    <row r="77" spans="1:26" s="69" customFormat="1" ht="56.25" x14ac:dyDescent="0.25">
      <c r="A77" s="56">
        <v>43</v>
      </c>
      <c r="B77" s="57" t="s">
        <v>226</v>
      </c>
      <c r="C77" s="40">
        <v>310</v>
      </c>
      <c r="D77" s="59"/>
      <c r="E77" s="59"/>
      <c r="F77" s="192">
        <f t="shared" ref="F77:F82" si="15">SUM(G77:J77)</f>
        <v>-3363.7394999999997</v>
      </c>
      <c r="G77" s="193">
        <f>G42+G45+G46+G51+G54+G55+G56+G57</f>
        <v>-938.7</v>
      </c>
      <c r="H77" s="193">
        <f>H42+H45+H46+H51+H54+H55+H56+H57</f>
        <v>-785.02949999999998</v>
      </c>
      <c r="I77" s="193">
        <f>I42+I45+I46+I51+I54+I55+I56+I57</f>
        <v>-638.41</v>
      </c>
      <c r="J77" s="193">
        <f>J42+J45+J46+J51+J54+J55+J56+J57</f>
        <v>-1001.6</v>
      </c>
      <c r="K77" s="62"/>
      <c r="L77" s="87"/>
      <c r="M77" s="159"/>
      <c r="N77" s="211" t="s">
        <v>452</v>
      </c>
      <c r="O77" s="87"/>
      <c r="P77" s="87"/>
      <c r="Q77" s="87"/>
      <c r="R77" s="87"/>
      <c r="T77" s="209">
        <f>T42+T45+T46+T51+T54+T55+T56+T57</f>
        <v>938700</v>
      </c>
      <c r="U77" s="209">
        <f>U42+U45+U46+U51+U54+U55+U56+U57</f>
        <v>785029.5</v>
      </c>
      <c r="V77" s="209">
        <f>V42+V45+V46+V51+V54+V55+V56+V57</f>
        <v>638410</v>
      </c>
      <c r="W77" s="209">
        <f>W42+W45+W46+W51+W54+W55+W56+W57</f>
        <v>1001600</v>
      </c>
      <c r="Z77" s="216">
        <f t="shared" si="1"/>
        <v>3363739.4999999995</v>
      </c>
    </row>
    <row r="78" spans="1:26" s="69" customFormat="1" x14ac:dyDescent="0.25">
      <c r="A78" s="56">
        <v>44</v>
      </c>
      <c r="B78" s="57" t="s">
        <v>200</v>
      </c>
      <c r="C78" s="40">
        <v>320</v>
      </c>
      <c r="D78" s="59"/>
      <c r="E78" s="59"/>
      <c r="F78" s="192">
        <f t="shared" si="15"/>
        <v>-22207.716160000004</v>
      </c>
      <c r="G78" s="193">
        <f>G52+G64</f>
        <v>-5539.8424199999999</v>
      </c>
      <c r="H78" s="193">
        <f t="shared" ref="H78:J79" si="16">H52+H64</f>
        <v>-5300</v>
      </c>
      <c r="I78" s="193">
        <f t="shared" si="16"/>
        <v>-5753.0237399999996</v>
      </c>
      <c r="J78" s="193">
        <f t="shared" si="16"/>
        <v>-5614.85</v>
      </c>
      <c r="K78" s="62"/>
      <c r="L78" s="87"/>
      <c r="N78" s="210" t="s">
        <v>458</v>
      </c>
      <c r="R78" s="87"/>
      <c r="T78" s="212">
        <f t="shared" ref="T78:W79" si="17">T52+T64</f>
        <v>5539842.4199999999</v>
      </c>
      <c r="U78" s="212">
        <f t="shared" si="17"/>
        <v>5300000</v>
      </c>
      <c r="V78" s="212">
        <f t="shared" si="17"/>
        <v>5753023.7400000002</v>
      </c>
      <c r="W78" s="212">
        <f t="shared" si="17"/>
        <v>5614850</v>
      </c>
      <c r="Z78" s="216">
        <f t="shared" si="1"/>
        <v>22207716.160000004</v>
      </c>
    </row>
    <row r="79" spans="1:26" s="69" customFormat="1" x14ac:dyDescent="0.25">
      <c r="A79" s="56">
        <v>45</v>
      </c>
      <c r="B79" s="57" t="s">
        <v>201</v>
      </c>
      <c r="C79" s="40">
        <v>330</v>
      </c>
      <c r="D79" s="59"/>
      <c r="E79" s="59"/>
      <c r="F79" s="192">
        <f t="shared" si="15"/>
        <v>-4875.2848400000003</v>
      </c>
      <c r="G79" s="193">
        <f>G53+G65</f>
        <v>-1224.19858</v>
      </c>
      <c r="H79" s="193">
        <f t="shared" si="16"/>
        <v>-1150.8489999999999</v>
      </c>
      <c r="I79" s="193">
        <f t="shared" si="16"/>
        <v>-1265</v>
      </c>
      <c r="J79" s="193">
        <f t="shared" si="16"/>
        <v>-1235.2372599999999</v>
      </c>
      <c r="K79" s="62"/>
      <c r="L79" s="87"/>
      <c r="M79" s="159"/>
      <c r="N79" s="210" t="s">
        <v>459</v>
      </c>
      <c r="O79" s="87"/>
      <c r="P79" s="87"/>
      <c r="Q79" s="87"/>
      <c r="R79" s="87"/>
      <c r="T79" s="212">
        <f t="shared" si="17"/>
        <v>1224198.58</v>
      </c>
      <c r="U79" s="212">
        <f t="shared" si="17"/>
        <v>1150849</v>
      </c>
      <c r="V79" s="212">
        <f t="shared" si="17"/>
        <v>1265000</v>
      </c>
      <c r="W79" s="212">
        <f t="shared" si="17"/>
        <v>1235237.26</v>
      </c>
      <c r="Z79" s="216">
        <f t="shared" si="1"/>
        <v>4875284.84</v>
      </c>
    </row>
    <row r="80" spans="1:26" s="69" customFormat="1" x14ac:dyDescent="0.25">
      <c r="A80" s="56">
        <v>46</v>
      </c>
      <c r="B80" s="57" t="s">
        <v>207</v>
      </c>
      <c r="C80" s="40">
        <v>340</v>
      </c>
      <c r="D80" s="59"/>
      <c r="E80" s="59"/>
      <c r="F80" s="192">
        <f t="shared" si="15"/>
        <v>0</v>
      </c>
      <c r="G80" s="193">
        <f>G58+G70</f>
        <v>0</v>
      </c>
      <c r="H80" s="193">
        <f>H58+H70</f>
        <v>0</v>
      </c>
      <c r="I80" s="193">
        <f>I58+I70</f>
        <v>0</v>
      </c>
      <c r="J80" s="193">
        <f>J58+J70</f>
        <v>0</v>
      </c>
      <c r="K80" s="62"/>
      <c r="L80" s="87"/>
      <c r="M80" s="159"/>
      <c r="N80" s="210" t="s">
        <v>460</v>
      </c>
      <c r="O80" s="87"/>
      <c r="P80" s="87"/>
      <c r="Q80" s="87"/>
      <c r="R80" s="87"/>
      <c r="T80" s="213">
        <f>T58+T70</f>
        <v>0</v>
      </c>
      <c r="U80" s="213">
        <f>U58+U70</f>
        <v>0</v>
      </c>
      <c r="V80" s="213">
        <f>V58+V70</f>
        <v>0</v>
      </c>
      <c r="W80" s="213">
        <f>W58+W70</f>
        <v>0</v>
      </c>
      <c r="Z80" s="216">
        <f t="shared" si="1"/>
        <v>0</v>
      </c>
    </row>
    <row r="81" spans="1:26" s="69" customFormat="1" ht="75" x14ac:dyDescent="0.25">
      <c r="A81" s="56">
        <v>47</v>
      </c>
      <c r="B81" s="57" t="s">
        <v>227</v>
      </c>
      <c r="C81" s="40">
        <v>350</v>
      </c>
      <c r="D81" s="59"/>
      <c r="E81" s="59"/>
      <c r="F81" s="192">
        <f t="shared" si="15"/>
        <v>-831.77499999999998</v>
      </c>
      <c r="G81" s="193">
        <f>G59+G61+G62+G63+G66+G67+G68+G69+G71+G75</f>
        <v>-200.35</v>
      </c>
      <c r="H81" s="193">
        <f>H59+H61+H62+H63+H66+H67+H68+H69+H71+H75</f>
        <v>-155.4</v>
      </c>
      <c r="I81" s="193">
        <f>I59+I61+I62+I63+I66+I67+I68+I69+I71+I75</f>
        <v>-193.4</v>
      </c>
      <c r="J81" s="193">
        <f>J59+J61+J62+J63+J66+J67+J68+J69+J71+J75</f>
        <v>-282.625</v>
      </c>
      <c r="K81" s="62"/>
      <c r="L81" s="87"/>
      <c r="M81" s="159"/>
      <c r="N81" s="210" t="s">
        <v>461</v>
      </c>
      <c r="O81" s="87"/>
      <c r="P81" s="87"/>
      <c r="Q81" s="87"/>
      <c r="R81" s="87"/>
      <c r="T81" s="212">
        <f>T59+T61+T62+T63+T66+T67+T68+T69+T71+T75</f>
        <v>200350</v>
      </c>
      <c r="U81" s="212">
        <f>U59+U61+U62+U63+U66+U67+U68+U69+U71+U75</f>
        <v>155400</v>
      </c>
      <c r="V81" s="212">
        <f>V59+V61+V62+V63+V66+V67+V68+V69+V71+V75</f>
        <v>193400</v>
      </c>
      <c r="W81" s="212">
        <f>W59+W61+W62+W63+W66+W67+W68+W69+W71+W75</f>
        <v>282625.5</v>
      </c>
      <c r="Z81" s="216">
        <f t="shared" si="1"/>
        <v>831775</v>
      </c>
    </row>
    <row r="82" spans="1:26" s="69" customFormat="1" x14ac:dyDescent="0.25">
      <c r="A82" s="56">
        <v>48</v>
      </c>
      <c r="B82" s="57" t="s">
        <v>228</v>
      </c>
      <c r="C82" s="40">
        <v>360</v>
      </c>
      <c r="D82" s="59"/>
      <c r="E82" s="59"/>
      <c r="F82" s="194">
        <f t="shared" si="15"/>
        <v>-31278.515500000001</v>
      </c>
      <c r="G82" s="193">
        <f>SUM(G77:G81)</f>
        <v>-7903.0910000000003</v>
      </c>
      <c r="H82" s="193">
        <f>SUM(H77:H81)</f>
        <v>-7391.2784999999994</v>
      </c>
      <c r="I82" s="193">
        <f>SUM(I77:I81)</f>
        <v>-7849.8337399999991</v>
      </c>
      <c r="J82" s="193">
        <f>SUM(J77:J81)</f>
        <v>-8134.3122600000006</v>
      </c>
      <c r="K82" s="62"/>
      <c r="L82" s="87"/>
      <c r="M82" s="207">
        <f>SUM(M43:M77)</f>
        <v>31278516</v>
      </c>
      <c r="N82" s="207">
        <f>SUM(N43:N77)</f>
        <v>7903091</v>
      </c>
      <c r="O82" s="207">
        <f>SUM(O43:O77)</f>
        <v>7391278.5</v>
      </c>
      <c r="P82" s="207">
        <f>SUM(P43:P77)</f>
        <v>7849833.7400000002</v>
      </c>
      <c r="Q82" s="207">
        <f>SUM(Q43:Q77)</f>
        <v>8134312.7599999998</v>
      </c>
      <c r="R82" s="87"/>
      <c r="T82" s="209">
        <f>SUM(T77:T81)</f>
        <v>7903091</v>
      </c>
      <c r="U82" s="209">
        <f>SUM(U77:U81)</f>
        <v>7391278.5</v>
      </c>
      <c r="V82" s="209">
        <f>SUM(V77:V81)</f>
        <v>7849833.7400000002</v>
      </c>
      <c r="W82" s="209">
        <f>SUM(W77:W81)</f>
        <v>8134312.7599999998</v>
      </c>
      <c r="Z82" s="216">
        <f t="shared" si="1"/>
        <v>31278515.5</v>
      </c>
    </row>
    <row r="83" spans="1:26" s="69" customFormat="1" x14ac:dyDescent="0.25">
      <c r="A83" s="56">
        <v>49</v>
      </c>
      <c r="B83" s="74" t="s">
        <v>229</v>
      </c>
      <c r="C83" s="75"/>
      <c r="D83" s="75"/>
      <c r="E83" s="75"/>
      <c r="F83" s="198"/>
      <c r="G83" s="198"/>
      <c r="H83" s="198"/>
      <c r="I83" s="198"/>
      <c r="J83" s="199"/>
      <c r="K83" s="62"/>
      <c r="L83" s="87"/>
      <c r="M83" s="159"/>
      <c r="N83" s="87"/>
      <c r="O83" s="87"/>
      <c r="P83" s="87"/>
      <c r="Q83" s="87"/>
      <c r="R83" s="87"/>
    </row>
    <row r="84" spans="1:26" s="69" customFormat="1" x14ac:dyDescent="0.25">
      <c r="A84" s="56">
        <v>50</v>
      </c>
      <c r="B84" s="57" t="s">
        <v>230</v>
      </c>
      <c r="C84" s="40">
        <v>370</v>
      </c>
      <c r="D84" s="67"/>
      <c r="E84" s="67"/>
      <c r="F84" s="194">
        <f>SUM(G84:J84)</f>
        <v>-1486.3916100000001</v>
      </c>
      <c r="G84" s="195">
        <f>SUM(G85)</f>
        <v>-1486.3916100000001</v>
      </c>
      <c r="H84" s="195">
        <f>SUM(H85)</f>
        <v>0</v>
      </c>
      <c r="I84" s="195">
        <f>SUM(I85)</f>
        <v>0</v>
      </c>
      <c r="J84" s="195">
        <f>SUM(J85)</f>
        <v>0</v>
      </c>
      <c r="K84" s="62"/>
      <c r="L84" s="87"/>
      <c r="M84" s="159"/>
      <c r="N84" s="87"/>
      <c r="O84" s="87"/>
      <c r="P84" s="87"/>
      <c r="Q84" s="87"/>
      <c r="R84" s="87"/>
    </row>
    <row r="85" spans="1:26" s="69" customFormat="1" ht="56.25" x14ac:dyDescent="0.25">
      <c r="A85" s="56">
        <v>51</v>
      </c>
      <c r="B85" s="57" t="s">
        <v>445</v>
      </c>
      <c r="C85" s="73">
        <v>371</v>
      </c>
      <c r="D85" s="59"/>
      <c r="E85" s="59"/>
      <c r="F85" s="192">
        <f>SUM(G85:J85)</f>
        <v>-1486.3916100000001</v>
      </c>
      <c r="G85" s="193">
        <f>-1486391.61/1000</f>
        <v>-1486.3916100000001</v>
      </c>
      <c r="H85" s="193">
        <v>0</v>
      </c>
      <c r="I85" s="193">
        <v>0</v>
      </c>
      <c r="J85" s="193">
        <v>0</v>
      </c>
      <c r="K85" s="62"/>
      <c r="L85" s="164"/>
      <c r="M85" s="162">
        <f>N85+O85+P85+Q85</f>
        <v>1486391.61</v>
      </c>
      <c r="N85" s="161">
        <v>1486391.61</v>
      </c>
      <c r="O85" s="161"/>
      <c r="P85" s="161"/>
      <c r="Q85" s="161">
        <v>0</v>
      </c>
      <c r="R85" s="87"/>
    </row>
    <row r="86" spans="1:26" s="69" customFormat="1" x14ac:dyDescent="0.25">
      <c r="A86" s="56">
        <v>52</v>
      </c>
      <c r="B86" s="55" t="s">
        <v>232</v>
      </c>
      <c r="C86" s="77">
        <v>380</v>
      </c>
      <c r="D86" s="78">
        <f>SUM(D87:D92)</f>
        <v>0</v>
      </c>
      <c r="E86" s="78">
        <f>SUM(E87:E92)</f>
        <v>0</v>
      </c>
      <c r="F86" s="194">
        <f t="shared" ref="F86:F92" si="18">SUM(G86:J86)</f>
        <v>-1020.5</v>
      </c>
      <c r="G86" s="194">
        <f>SUM(G87:G92)</f>
        <v>-50</v>
      </c>
      <c r="H86" s="194">
        <f>SUM(H87:H92)</f>
        <v>-600</v>
      </c>
      <c r="I86" s="194">
        <f>SUM(I87:I92)</f>
        <v>-370.5</v>
      </c>
      <c r="J86" s="194">
        <f>SUM(J87:J92)</f>
        <v>0</v>
      </c>
      <c r="K86" s="62"/>
      <c r="L86" s="87"/>
      <c r="M86" s="170"/>
      <c r="N86" s="161"/>
      <c r="O86" s="161"/>
      <c r="P86" s="161"/>
      <c r="Q86" s="161"/>
      <c r="R86" s="87"/>
    </row>
    <row r="87" spans="1:26" s="69" customFormat="1" x14ac:dyDescent="0.25">
      <c r="A87" s="56">
        <v>53</v>
      </c>
      <c r="B87" s="57" t="s">
        <v>233</v>
      </c>
      <c r="C87" s="79">
        <v>381</v>
      </c>
      <c r="D87" s="59"/>
      <c r="E87" s="59"/>
      <c r="F87" s="193">
        <f t="shared" si="18"/>
        <v>0</v>
      </c>
      <c r="G87" s="193"/>
      <c r="H87" s="193"/>
      <c r="I87" s="193"/>
      <c r="J87" s="193"/>
      <c r="K87" s="62"/>
      <c r="L87" s="87"/>
      <c r="M87" s="170"/>
      <c r="N87" s="161"/>
      <c r="O87" s="161"/>
      <c r="P87" s="161"/>
      <c r="Q87" s="161"/>
      <c r="R87" s="87"/>
    </row>
    <row r="88" spans="1:26" s="69" customFormat="1" x14ac:dyDescent="0.25">
      <c r="A88" s="56">
        <v>54</v>
      </c>
      <c r="B88" s="57" t="s">
        <v>234</v>
      </c>
      <c r="C88" s="80">
        <v>382</v>
      </c>
      <c r="D88" s="59"/>
      <c r="E88" s="59"/>
      <c r="F88" s="193">
        <f t="shared" si="18"/>
        <v>-420.5</v>
      </c>
      <c r="G88" s="193">
        <v>-50</v>
      </c>
      <c r="H88" s="193">
        <v>0</v>
      </c>
      <c r="I88" s="193">
        <v>-370.5</v>
      </c>
      <c r="J88" s="193">
        <v>0</v>
      </c>
      <c r="K88" s="62"/>
      <c r="L88" s="87"/>
      <c r="M88" s="162">
        <f>N88+O88+P88+Q88</f>
        <v>420500</v>
      </c>
      <c r="N88" s="178">
        <v>50000</v>
      </c>
      <c r="O88" s="161"/>
      <c r="P88" s="178">
        <v>370500</v>
      </c>
      <c r="Q88" s="161"/>
      <c r="R88" s="87"/>
    </row>
    <row r="89" spans="1:26" s="69" customFormat="1" ht="37.5" x14ac:dyDescent="0.25">
      <c r="A89" s="56">
        <v>55</v>
      </c>
      <c r="B89" s="57" t="s">
        <v>235</v>
      </c>
      <c r="C89" s="79">
        <v>383</v>
      </c>
      <c r="D89" s="59"/>
      <c r="E89" s="59"/>
      <c r="F89" s="193">
        <f t="shared" si="18"/>
        <v>0</v>
      </c>
      <c r="G89" s="193"/>
      <c r="H89" s="193"/>
      <c r="I89" s="193"/>
      <c r="J89" s="193"/>
      <c r="K89" s="62"/>
      <c r="L89" s="87"/>
      <c r="M89" s="162">
        <f>N89+O89+P89+Q89</f>
        <v>600000</v>
      </c>
      <c r="N89" s="161">
        <v>0</v>
      </c>
      <c r="O89" s="178">
        <v>600000</v>
      </c>
      <c r="P89" s="161">
        <v>0</v>
      </c>
      <c r="Q89" s="161">
        <v>0</v>
      </c>
      <c r="R89" s="34"/>
      <c r="S89" s="34"/>
    </row>
    <row r="90" spans="1:26" s="69" customFormat="1" x14ac:dyDescent="0.25">
      <c r="A90" s="56">
        <v>56</v>
      </c>
      <c r="B90" s="57" t="s">
        <v>236</v>
      </c>
      <c r="C90" s="80">
        <v>384</v>
      </c>
      <c r="D90" s="59"/>
      <c r="E90" s="59"/>
      <c r="F90" s="193">
        <f t="shared" si="18"/>
        <v>0</v>
      </c>
      <c r="G90" s="193"/>
      <c r="H90" s="193"/>
      <c r="I90" s="193"/>
      <c r="J90" s="193"/>
      <c r="K90" s="62"/>
      <c r="L90" s="87" t="s">
        <v>448</v>
      </c>
      <c r="M90" s="173">
        <f>SUM(M43:M89)-M82</f>
        <v>33785407.609999999</v>
      </c>
      <c r="N90" s="173">
        <f>SUM(N43:N89)-N82</f>
        <v>9439482.6099999994</v>
      </c>
      <c r="O90" s="173">
        <f>SUM(O43:O89)-O82</f>
        <v>7991278.5</v>
      </c>
      <c r="P90" s="173">
        <f>SUM(P43:P89)-P82</f>
        <v>8220333.7400000002</v>
      </c>
      <c r="Q90" s="173">
        <f>SUM(Q43:Q89)-Q82</f>
        <v>8134312.7599999998</v>
      </c>
      <c r="R90" s="34"/>
      <c r="S90" s="34"/>
    </row>
    <row r="91" spans="1:26" s="69" customFormat="1" ht="37.5" x14ac:dyDescent="0.25">
      <c r="A91" s="56">
        <v>57</v>
      </c>
      <c r="B91" s="57" t="s">
        <v>237</v>
      </c>
      <c r="C91" s="80">
        <v>385</v>
      </c>
      <c r="D91" s="59"/>
      <c r="E91" s="59"/>
      <c r="F91" s="193">
        <f t="shared" si="18"/>
        <v>0</v>
      </c>
      <c r="G91" s="193"/>
      <c r="H91" s="193"/>
      <c r="I91" s="193"/>
      <c r="J91" s="193"/>
      <c r="K91" s="62"/>
      <c r="L91" s="87" t="s">
        <v>449</v>
      </c>
      <c r="M91" s="173">
        <f>N91+O91+P91+Q91</f>
        <v>33785407.609999999</v>
      </c>
      <c r="N91" s="174">
        <f>O104+Q104+N121</f>
        <v>9439482.6099999994</v>
      </c>
      <c r="O91" s="174">
        <f>O107+Q107</f>
        <v>7991278.5</v>
      </c>
      <c r="P91" s="174">
        <f>O110+Q110</f>
        <v>8220333.7400000002</v>
      </c>
      <c r="Q91" s="174">
        <f>O113+Q113</f>
        <v>8134312.7599999998</v>
      </c>
      <c r="R91" s="172"/>
      <c r="S91" s="34"/>
    </row>
    <row r="92" spans="1:26" s="69" customFormat="1" x14ac:dyDescent="0.25">
      <c r="A92" s="56">
        <v>58</v>
      </c>
      <c r="B92" s="57" t="s">
        <v>238</v>
      </c>
      <c r="C92" s="79">
        <v>386</v>
      </c>
      <c r="D92" s="59"/>
      <c r="E92" s="59"/>
      <c r="F92" s="193">
        <f t="shared" si="18"/>
        <v>-600</v>
      </c>
      <c r="G92" s="193"/>
      <c r="H92" s="193">
        <v>-600</v>
      </c>
      <c r="I92" s="193">
        <v>0</v>
      </c>
      <c r="J92" s="193"/>
      <c r="K92" s="62"/>
      <c r="L92" s="87" t="s">
        <v>450</v>
      </c>
      <c r="M92" s="173">
        <f>M91-M90</f>
        <v>0</v>
      </c>
      <c r="N92" s="177">
        <f>N91-N90</f>
        <v>0</v>
      </c>
      <c r="O92" s="176">
        <f>O91-O90</f>
        <v>0</v>
      </c>
      <c r="P92" s="177">
        <f>P91-P90</f>
        <v>0</v>
      </c>
      <c r="Q92" s="176">
        <f>Q91-Q90</f>
        <v>0</v>
      </c>
      <c r="R92" s="172"/>
      <c r="S92" s="34"/>
    </row>
    <row r="93" spans="1:26" s="69" customFormat="1" x14ac:dyDescent="0.3">
      <c r="A93" s="56">
        <v>59</v>
      </c>
      <c r="B93" s="74" t="s">
        <v>239</v>
      </c>
      <c r="C93" s="75"/>
      <c r="D93" s="75"/>
      <c r="E93" s="75"/>
      <c r="F93" s="75"/>
      <c r="G93" s="75"/>
      <c r="H93" s="75"/>
      <c r="I93" s="75"/>
      <c r="J93" s="76"/>
      <c r="K93" s="62"/>
      <c r="L93" s="87"/>
      <c r="M93" s="171"/>
      <c r="N93" s="171"/>
      <c r="O93" s="171"/>
      <c r="P93" s="171"/>
      <c r="Q93" s="171"/>
      <c r="R93" s="172"/>
      <c r="S93" s="34"/>
    </row>
    <row r="94" spans="1:26" s="69" customFormat="1" x14ac:dyDescent="0.25">
      <c r="A94" s="56">
        <v>60</v>
      </c>
      <c r="B94" s="57" t="s">
        <v>240</v>
      </c>
      <c r="C94" s="81">
        <v>390</v>
      </c>
      <c r="D94" s="67">
        <f>SUM(D95:D98)</f>
        <v>0</v>
      </c>
      <c r="E94" s="67">
        <f>SUM(E95:E98)</f>
        <v>0</v>
      </c>
      <c r="F94" s="195">
        <f t="shared" ref="F94:F103" si="19">SUM(G94:J94)</f>
        <v>534.66498999999999</v>
      </c>
      <c r="G94" s="195">
        <f>SUM(G95:G98)</f>
        <v>96.661000000000001</v>
      </c>
      <c r="H94" s="195">
        <f>SUM(H95:H98)</f>
        <v>165.04698999999999</v>
      </c>
      <c r="I94" s="195">
        <f>SUM(I95:I98)</f>
        <v>178.88900000000001</v>
      </c>
      <c r="J94" s="195">
        <f>SUM(J95:J98)</f>
        <v>94.067999999999998</v>
      </c>
      <c r="K94" s="62"/>
      <c r="L94" s="87"/>
      <c r="M94" s="7" t="s">
        <v>418</v>
      </c>
      <c r="N94" s="7" t="s">
        <v>419</v>
      </c>
      <c r="O94" s="7" t="s">
        <v>420</v>
      </c>
      <c r="P94" s="34"/>
      <c r="Q94" s="34"/>
      <c r="R94" s="34"/>
      <c r="S94" s="34"/>
    </row>
    <row r="95" spans="1:26" s="69" customFormat="1" x14ac:dyDescent="0.25">
      <c r="A95" s="56">
        <v>61</v>
      </c>
      <c r="B95" s="63" t="s">
        <v>441</v>
      </c>
      <c r="C95" s="82">
        <v>391</v>
      </c>
      <c r="D95" s="59"/>
      <c r="E95" s="59"/>
      <c r="F95" s="193">
        <f t="shared" si="19"/>
        <v>0</v>
      </c>
      <c r="G95" s="193"/>
      <c r="H95" s="193"/>
      <c r="I95" s="193"/>
      <c r="J95" s="193"/>
      <c r="K95" s="62"/>
      <c r="L95" s="87"/>
      <c r="M95" s="165">
        <v>1486391.61</v>
      </c>
      <c r="N95" s="165">
        <f>M95+E95-E101</f>
        <v>1486391.61</v>
      </c>
      <c r="O95" s="165">
        <f>N95+F95-F101</f>
        <v>1486391.61</v>
      </c>
      <c r="P95" s="34"/>
      <c r="Q95" s="34"/>
      <c r="R95" s="34"/>
      <c r="S95" s="34"/>
    </row>
    <row r="96" spans="1:26" s="69" customFormat="1" x14ac:dyDescent="0.25">
      <c r="A96" s="56">
        <v>62</v>
      </c>
      <c r="B96" s="63" t="s">
        <v>442</v>
      </c>
      <c r="C96" s="82">
        <v>392</v>
      </c>
      <c r="D96" s="59"/>
      <c r="E96" s="59"/>
      <c r="F96" s="193">
        <f t="shared" si="19"/>
        <v>503.72799999999995</v>
      </c>
      <c r="G96" s="193">
        <f>90061/1000</f>
        <v>90.061000000000007</v>
      </c>
      <c r="H96" s="193">
        <f>151510/1000</f>
        <v>151.51</v>
      </c>
      <c r="I96" s="193">
        <f>174089/1000</f>
        <v>174.089</v>
      </c>
      <c r="J96" s="193">
        <f>88068/1000</f>
        <v>88.067999999999998</v>
      </c>
      <c r="K96" s="62"/>
      <c r="L96" s="87"/>
      <c r="M96" s="34" t="s">
        <v>125</v>
      </c>
      <c r="N96" s="34"/>
      <c r="O96" s="34"/>
      <c r="P96" s="34"/>
      <c r="Q96" s="34"/>
      <c r="R96" s="34"/>
      <c r="S96" s="34"/>
    </row>
    <row r="97" spans="1:26" s="69" customFormat="1" x14ac:dyDescent="0.25">
      <c r="A97" s="56">
        <v>63</v>
      </c>
      <c r="B97" s="63" t="s">
        <v>243</v>
      </c>
      <c r="C97" s="82">
        <v>393</v>
      </c>
      <c r="D97" s="59"/>
      <c r="E97" s="59"/>
      <c r="F97" s="193">
        <f t="shared" si="19"/>
        <v>8.1369899999999991</v>
      </c>
      <c r="G97" s="193"/>
      <c r="H97" s="193">
        <f>8136.99/1000</f>
        <v>8.1369899999999991</v>
      </c>
      <c r="I97" s="193"/>
      <c r="J97" s="193"/>
      <c r="K97" s="62"/>
      <c r="L97" s="87"/>
      <c r="M97" s="34">
        <v>1000.804</v>
      </c>
      <c r="N97" s="34" t="s">
        <v>421</v>
      </c>
      <c r="O97" s="34"/>
      <c r="P97" s="34"/>
      <c r="Q97" s="34"/>
      <c r="R97" s="34"/>
      <c r="S97" s="34"/>
    </row>
    <row r="98" spans="1:26" s="69" customFormat="1" x14ac:dyDescent="0.25">
      <c r="A98" s="56">
        <v>64</v>
      </c>
      <c r="B98" s="57" t="s">
        <v>413</v>
      </c>
      <c r="C98" s="81">
        <v>400</v>
      </c>
      <c r="D98" s="59"/>
      <c r="E98" s="59"/>
      <c r="F98" s="193">
        <f t="shared" si="19"/>
        <v>22.8</v>
      </c>
      <c r="G98" s="193">
        <f>(1400+800)/1000*3</f>
        <v>6.6000000000000005</v>
      </c>
      <c r="H98" s="193">
        <f>(2200/1000)+(1400+200)/1000*2</f>
        <v>5.4</v>
      </c>
      <c r="I98" s="193">
        <f>(1400+200)/1000*3</f>
        <v>4.8000000000000007</v>
      </c>
      <c r="J98" s="193">
        <f>(1600/1000)+(1400+800)/1000*2</f>
        <v>6</v>
      </c>
      <c r="K98" s="62"/>
      <c r="L98" s="87"/>
      <c r="M98" s="34">
        <v>8136.99</v>
      </c>
      <c r="N98" s="34"/>
      <c r="O98" s="34"/>
      <c r="P98" s="34"/>
      <c r="Q98" s="34"/>
      <c r="R98" s="34"/>
      <c r="S98" s="34"/>
    </row>
    <row r="99" spans="1:26" s="69" customFormat="1" ht="22.5" customHeight="1" x14ac:dyDescent="0.25">
      <c r="A99" s="56">
        <v>65</v>
      </c>
      <c r="B99" s="57" t="s">
        <v>244</v>
      </c>
      <c r="C99" s="81">
        <v>410</v>
      </c>
      <c r="D99" s="67">
        <f>SUM(D100:D103)</f>
        <v>0</v>
      </c>
      <c r="E99" s="67">
        <f>SUM(E100:E103)</f>
        <v>0</v>
      </c>
      <c r="F99" s="195">
        <f t="shared" si="19"/>
        <v>0</v>
      </c>
      <c r="G99" s="195">
        <f>SUM(G100:G103)</f>
        <v>0</v>
      </c>
      <c r="H99" s="195">
        <f>SUM(H100:H103)</f>
        <v>0</v>
      </c>
      <c r="I99" s="195">
        <f>SUM(I100:I103)</f>
        <v>0</v>
      </c>
      <c r="J99" s="195">
        <f>SUM(J100:J103)</f>
        <v>0</v>
      </c>
      <c r="K99" s="62"/>
      <c r="L99" s="87"/>
      <c r="M99" s="34" t="s">
        <v>422</v>
      </c>
      <c r="N99" s="34"/>
      <c r="O99" s="34"/>
      <c r="P99" s="34"/>
      <c r="Q99" s="34"/>
      <c r="R99" s="34"/>
      <c r="S99" s="34"/>
    </row>
    <row r="100" spans="1:26" s="69" customFormat="1" x14ac:dyDescent="0.25">
      <c r="A100" s="56">
        <v>66</v>
      </c>
      <c r="B100" s="63" t="s">
        <v>241</v>
      </c>
      <c r="C100" s="82">
        <v>411</v>
      </c>
      <c r="D100" s="59"/>
      <c r="E100" s="59"/>
      <c r="F100" s="193">
        <f t="shared" si="19"/>
        <v>0</v>
      </c>
      <c r="G100" s="193"/>
      <c r="H100" s="193"/>
      <c r="I100" s="193"/>
      <c r="J100" s="193"/>
      <c r="K100" s="62"/>
      <c r="L100" s="87"/>
      <c r="M100" s="34" t="s">
        <v>423</v>
      </c>
      <c r="N100" s="34"/>
      <c r="O100" s="34"/>
      <c r="P100" s="34"/>
      <c r="Q100" s="34"/>
      <c r="R100" s="34"/>
      <c r="S100" s="34"/>
    </row>
    <row r="101" spans="1:26" s="69" customFormat="1" x14ac:dyDescent="0.25">
      <c r="A101" s="56">
        <v>67</v>
      </c>
      <c r="B101" s="63" t="s">
        <v>242</v>
      </c>
      <c r="C101" s="82">
        <v>412</v>
      </c>
      <c r="D101" s="59"/>
      <c r="E101" s="59"/>
      <c r="F101" s="193">
        <f t="shared" si="19"/>
        <v>0</v>
      </c>
      <c r="G101" s="193"/>
      <c r="H101" s="193"/>
      <c r="I101" s="193"/>
      <c r="J101" s="193"/>
      <c r="K101" s="62"/>
      <c r="L101" s="87"/>
      <c r="M101" s="34" t="s">
        <v>424</v>
      </c>
      <c r="N101" s="34"/>
      <c r="O101" s="34"/>
      <c r="P101" s="34"/>
      <c r="Q101" s="34"/>
      <c r="R101" s="34"/>
      <c r="S101" s="34"/>
    </row>
    <row r="102" spans="1:26" s="69" customFormat="1" x14ac:dyDescent="0.25">
      <c r="A102" s="56">
        <v>68</v>
      </c>
      <c r="B102" s="63" t="s">
        <v>243</v>
      </c>
      <c r="C102" s="82">
        <v>413</v>
      </c>
      <c r="D102" s="59"/>
      <c r="E102" s="59"/>
      <c r="F102" s="193">
        <f t="shared" si="19"/>
        <v>0</v>
      </c>
      <c r="G102" s="193"/>
      <c r="H102" s="193"/>
      <c r="I102" s="193"/>
      <c r="J102" s="193"/>
      <c r="K102" s="62"/>
      <c r="L102" s="87"/>
      <c r="M102" s="166"/>
      <c r="N102" s="34"/>
      <c r="O102" s="34"/>
      <c r="P102" s="159" t="s">
        <v>440</v>
      </c>
      <c r="Q102" s="34"/>
      <c r="R102" s="34"/>
      <c r="S102" s="34"/>
    </row>
    <row r="103" spans="1:26" s="69" customFormat="1" x14ac:dyDescent="0.25">
      <c r="A103" s="56">
        <v>69</v>
      </c>
      <c r="B103" s="57" t="s">
        <v>208</v>
      </c>
      <c r="C103" s="81">
        <v>420</v>
      </c>
      <c r="D103" s="59"/>
      <c r="E103" s="59"/>
      <c r="F103" s="193">
        <f t="shared" si="19"/>
        <v>0</v>
      </c>
      <c r="G103" s="193"/>
      <c r="H103" s="193"/>
      <c r="I103" s="193"/>
      <c r="J103" s="193"/>
      <c r="K103" s="62"/>
      <c r="L103" s="87"/>
      <c r="M103" s="159" t="s">
        <v>425</v>
      </c>
      <c r="N103" s="35" t="s">
        <v>438</v>
      </c>
      <c r="O103" s="35" t="s">
        <v>439</v>
      </c>
      <c r="P103" s="35" t="s">
        <v>438</v>
      </c>
      <c r="Q103" s="35" t="s">
        <v>439</v>
      </c>
      <c r="R103" s="34"/>
      <c r="S103" s="34"/>
    </row>
    <row r="104" spans="1:26" x14ac:dyDescent="0.25">
      <c r="A104" s="56">
        <v>70</v>
      </c>
      <c r="B104" s="55" t="s">
        <v>245</v>
      </c>
      <c r="C104" s="83">
        <v>500</v>
      </c>
      <c r="D104" s="84">
        <f>SUM(D35+D36+D37+D72+D84+D94)</f>
        <v>0</v>
      </c>
      <c r="E104" s="84">
        <f>SUM(E35+E36+E37+E72+E84+E94)</f>
        <v>0</v>
      </c>
      <c r="F104" s="200">
        <f>SUM(G104:J104)</f>
        <v>33785.40711</v>
      </c>
      <c r="G104" s="200">
        <f>G35+G36+G37</f>
        <v>9439.4826100000009</v>
      </c>
      <c r="H104" s="200">
        <f>H35+H36+H37</f>
        <v>7991.2784999999994</v>
      </c>
      <c r="I104" s="200">
        <f>I35+I36+I37</f>
        <v>8220.33374</v>
      </c>
      <c r="J104" s="200">
        <f>J35+J36+J37</f>
        <v>8134.3122600000006</v>
      </c>
      <c r="K104" s="62"/>
      <c r="L104" s="87"/>
      <c r="M104" s="34" t="s">
        <v>426</v>
      </c>
      <c r="N104" s="167">
        <v>2560330.33</v>
      </c>
      <c r="O104" s="319">
        <f>SUM(N104:N106)</f>
        <v>7863030</v>
      </c>
      <c r="P104" s="167">
        <v>0</v>
      </c>
      <c r="Q104" s="319">
        <f>SUM(P104:P106)</f>
        <v>90061</v>
      </c>
      <c r="R104" s="169"/>
      <c r="S104" s="34"/>
      <c r="T104" s="69"/>
      <c r="U104" s="69"/>
      <c r="V104" s="69"/>
      <c r="W104" s="69"/>
      <c r="X104" s="69"/>
      <c r="Y104" s="69"/>
      <c r="Z104" s="69"/>
    </row>
    <row r="105" spans="1:26" x14ac:dyDescent="0.25">
      <c r="A105" s="56">
        <v>71</v>
      </c>
      <c r="B105" s="55" t="s">
        <v>246</v>
      </c>
      <c r="C105" s="83">
        <v>600</v>
      </c>
      <c r="D105" s="84">
        <f>D42+D45+D46+D52+D53+D56+D58+D59+D60+D86+D99</f>
        <v>0</v>
      </c>
      <c r="E105" s="84">
        <f>E42+E45+E46+E52+E53+E56+E58+E59+E60+E86+E99</f>
        <v>0</v>
      </c>
      <c r="F105" s="200">
        <f>SUM(G105:J105)</f>
        <v>-33754.470119999998</v>
      </c>
      <c r="G105" s="200">
        <f>G82+G86+G94+G84-G96</f>
        <v>-9432.8826100000006</v>
      </c>
      <c r="H105" s="200">
        <f>H82+H86+H94+H84-H96</f>
        <v>-7977.7415099999998</v>
      </c>
      <c r="I105" s="200">
        <f>I82+I86+I94+I84-I96</f>
        <v>-8215.5337399999989</v>
      </c>
      <c r="J105" s="200">
        <f>J82+J86+J94+J84-J96</f>
        <v>-8128.3122600000006</v>
      </c>
      <c r="K105" s="62"/>
      <c r="L105" s="87"/>
      <c r="M105" s="34" t="s">
        <v>427</v>
      </c>
      <c r="N105" s="167">
        <v>2619707.67</v>
      </c>
      <c r="O105" s="319"/>
      <c r="P105" s="167">
        <v>37011</v>
      </c>
      <c r="Q105" s="319"/>
      <c r="R105" s="169">
        <v>23310.799999999999</v>
      </c>
      <c r="S105" s="169">
        <f>Q104-R105</f>
        <v>66750.2</v>
      </c>
      <c r="T105" s="69"/>
      <c r="U105" s="69"/>
      <c r="V105" s="69"/>
      <c r="W105" s="69"/>
      <c r="X105" s="69"/>
      <c r="Y105" s="69"/>
      <c r="Z105" s="69"/>
    </row>
    <row r="106" spans="1:26" x14ac:dyDescent="0.25">
      <c r="A106" s="56">
        <v>72</v>
      </c>
      <c r="B106" s="57" t="s">
        <v>247</v>
      </c>
      <c r="C106" s="58">
        <v>650</v>
      </c>
      <c r="D106" s="59"/>
      <c r="E106" s="59"/>
      <c r="F106" s="192">
        <f>SUM(G106:J106)</f>
        <v>30.93699000000106</v>
      </c>
      <c r="G106" s="193">
        <f>G104+G105</f>
        <v>6.6000000000003638</v>
      </c>
      <c r="H106" s="193">
        <f>H104+H105</f>
        <v>13.536989999999605</v>
      </c>
      <c r="I106" s="193">
        <f>I104+I105</f>
        <v>4.8000000000010914</v>
      </c>
      <c r="J106" s="193">
        <f>J104+J105</f>
        <v>6</v>
      </c>
      <c r="K106" s="62"/>
      <c r="L106" s="87"/>
      <c r="M106" s="34" t="s">
        <v>428</v>
      </c>
      <c r="N106" s="167">
        <v>2682992</v>
      </c>
      <c r="O106" s="319"/>
      <c r="P106" s="167">
        <v>53050</v>
      </c>
      <c r="Q106" s="319"/>
      <c r="R106" s="169"/>
      <c r="S106" s="169"/>
      <c r="T106" s="69"/>
      <c r="U106" s="69"/>
      <c r="V106" s="69"/>
      <c r="W106" s="69"/>
      <c r="X106" s="69"/>
      <c r="Y106" s="69"/>
      <c r="Z106" s="69"/>
    </row>
    <row r="107" spans="1:26" x14ac:dyDescent="0.25">
      <c r="A107" s="56">
        <v>73</v>
      </c>
      <c r="B107" s="251" t="s">
        <v>248</v>
      </c>
      <c r="C107" s="248"/>
      <c r="D107" s="75"/>
      <c r="E107" s="75"/>
      <c r="F107" s="201" t="s">
        <v>249</v>
      </c>
      <c r="G107" s="201" t="s">
        <v>250</v>
      </c>
      <c r="H107" s="201" t="s">
        <v>251</v>
      </c>
      <c r="I107" s="201" t="s">
        <v>252</v>
      </c>
      <c r="J107" s="201" t="s">
        <v>253</v>
      </c>
      <c r="K107" s="87"/>
      <c r="L107" s="87"/>
      <c r="M107" s="34" t="s">
        <v>429</v>
      </c>
      <c r="N107" s="167">
        <v>2475605.34</v>
      </c>
      <c r="O107" s="319">
        <f>SUM(N107:N109)</f>
        <v>7839768.5</v>
      </c>
      <c r="P107" s="167">
        <v>47574</v>
      </c>
      <c r="Q107" s="319">
        <f>SUM(P107:P109)</f>
        <v>151510</v>
      </c>
      <c r="R107" s="169"/>
      <c r="S107" s="169"/>
    </row>
    <row r="108" spans="1:26" x14ac:dyDescent="0.25">
      <c r="A108" s="56">
        <v>74</v>
      </c>
      <c r="B108" s="57" t="s">
        <v>254</v>
      </c>
      <c r="C108" s="58">
        <v>700</v>
      </c>
      <c r="D108" s="59"/>
      <c r="E108" s="59"/>
      <c r="F108" s="193">
        <v>227</v>
      </c>
      <c r="G108" s="193">
        <v>227</v>
      </c>
      <c r="H108" s="193">
        <v>227</v>
      </c>
      <c r="I108" s="193">
        <v>227</v>
      </c>
      <c r="J108" s="193">
        <v>227</v>
      </c>
      <c r="K108" s="87"/>
      <c r="L108" s="87"/>
      <c r="M108" s="34" t="s">
        <v>430</v>
      </c>
      <c r="N108" s="167">
        <v>2682081.58</v>
      </c>
      <c r="O108" s="319"/>
      <c r="P108" s="167">
        <v>50825</v>
      </c>
      <c r="Q108" s="319"/>
      <c r="R108" s="169">
        <v>32589.7</v>
      </c>
      <c r="S108" s="169">
        <f>Q107-R108</f>
        <v>118920.3</v>
      </c>
    </row>
    <row r="109" spans="1:26" x14ac:dyDescent="0.25">
      <c r="A109" s="56">
        <v>75</v>
      </c>
      <c r="B109" s="57" t="s">
        <v>255</v>
      </c>
      <c r="C109" s="58">
        <v>710</v>
      </c>
      <c r="D109" s="59"/>
      <c r="E109" s="59"/>
      <c r="F109" s="197">
        <v>5451.57</v>
      </c>
      <c r="G109" s="197">
        <v>5451.57</v>
      </c>
      <c r="H109" s="197">
        <v>5451.57</v>
      </c>
      <c r="I109" s="197">
        <v>5451.57</v>
      </c>
      <c r="J109" s="197">
        <f>I109</f>
        <v>5451.57</v>
      </c>
      <c r="K109" s="87"/>
      <c r="L109" s="87"/>
      <c r="M109" s="34" t="s">
        <v>431</v>
      </c>
      <c r="N109" s="167">
        <v>2682081.58</v>
      </c>
      <c r="O109" s="319"/>
      <c r="P109" s="167">
        <v>53111</v>
      </c>
      <c r="Q109" s="319"/>
      <c r="R109" s="169"/>
      <c r="S109" s="34"/>
    </row>
    <row r="110" spans="1:26" x14ac:dyDescent="0.25">
      <c r="A110" s="56">
        <v>76</v>
      </c>
      <c r="B110" s="57" t="s">
        <v>256</v>
      </c>
      <c r="C110" s="58">
        <v>720</v>
      </c>
      <c r="D110" s="59"/>
      <c r="E110" s="59"/>
      <c r="F110" s="197"/>
      <c r="G110" s="197"/>
      <c r="H110" s="197"/>
      <c r="I110" s="197">
        <v>0</v>
      </c>
      <c r="J110" s="197">
        <v>0</v>
      </c>
      <c r="K110" s="87"/>
      <c r="L110" s="87"/>
      <c r="M110" s="34" t="s">
        <v>432</v>
      </c>
      <c r="N110" s="167">
        <v>2682081.58</v>
      </c>
      <c r="O110" s="319">
        <f>SUM(N110:N112)</f>
        <v>8046244.7400000002</v>
      </c>
      <c r="P110" s="167">
        <v>89663</v>
      </c>
      <c r="Q110" s="319">
        <f>SUM(P110:P112)</f>
        <v>174089</v>
      </c>
      <c r="R110" s="169"/>
    </row>
    <row r="111" spans="1:26" x14ac:dyDescent="0.25">
      <c r="A111" s="56">
        <v>77</v>
      </c>
      <c r="B111" s="57" t="s">
        <v>257</v>
      </c>
      <c r="C111" s="58">
        <v>730</v>
      </c>
      <c r="D111" s="59"/>
      <c r="E111" s="59"/>
      <c r="F111" s="197"/>
      <c r="G111" s="197"/>
      <c r="H111" s="197"/>
      <c r="I111" s="197">
        <v>0</v>
      </c>
      <c r="J111" s="197">
        <v>0</v>
      </c>
      <c r="K111" s="87"/>
      <c r="L111" s="87"/>
      <c r="M111" s="34" t="s">
        <v>433</v>
      </c>
      <c r="N111" s="167">
        <v>2682081.58</v>
      </c>
      <c r="O111" s="319"/>
      <c r="P111" s="167">
        <v>43216</v>
      </c>
      <c r="Q111" s="319"/>
      <c r="R111" s="169">
        <v>42709</v>
      </c>
      <c r="S111" s="169">
        <f>Q110-R111</f>
        <v>131380</v>
      </c>
    </row>
    <row r="112" spans="1:26" x14ac:dyDescent="0.25">
      <c r="B112" s="41"/>
      <c r="C112" s="88"/>
      <c r="D112" s="89"/>
      <c r="E112" s="89"/>
      <c r="F112" s="202"/>
      <c r="G112" s="202"/>
      <c r="H112" s="202"/>
      <c r="I112" s="202"/>
      <c r="J112" s="202"/>
      <c r="K112" s="87"/>
      <c r="L112" s="87"/>
      <c r="M112" s="34" t="s">
        <v>434</v>
      </c>
      <c r="N112" s="167">
        <v>2682081.58</v>
      </c>
      <c r="O112" s="319"/>
      <c r="P112" s="167">
        <v>41210</v>
      </c>
      <c r="Q112" s="319"/>
      <c r="R112" s="169"/>
    </row>
    <row r="113" spans="2:26" x14ac:dyDescent="0.25">
      <c r="B113" s="41"/>
      <c r="D113" s="90"/>
      <c r="E113" s="91"/>
      <c r="F113" s="203"/>
      <c r="G113" s="203"/>
      <c r="H113" s="203"/>
      <c r="I113" s="203"/>
      <c r="J113" s="203"/>
      <c r="M113" s="34" t="s">
        <v>435</v>
      </c>
      <c r="N113" s="167">
        <v>2682081.58</v>
      </c>
      <c r="O113" s="319">
        <f>SUM(N113:N115)</f>
        <v>8046244.7599999998</v>
      </c>
      <c r="P113" s="167">
        <v>47773</v>
      </c>
      <c r="Q113" s="319">
        <f>SUM(P113:P115)</f>
        <v>88068</v>
      </c>
      <c r="R113" s="169"/>
    </row>
    <row r="114" spans="2:26" x14ac:dyDescent="0.25">
      <c r="B114" s="92" t="s">
        <v>297</v>
      </c>
      <c r="C114" s="88"/>
      <c r="D114" s="262" t="s">
        <v>258</v>
      </c>
      <c r="E114" s="262"/>
      <c r="F114" s="262"/>
      <c r="G114" s="204"/>
      <c r="H114" s="320" t="s">
        <v>259</v>
      </c>
      <c r="I114" s="320"/>
      <c r="J114" s="320"/>
      <c r="M114" s="34" t="s">
        <v>436</v>
      </c>
      <c r="N114" s="167">
        <v>2682081.58</v>
      </c>
      <c r="O114" s="319"/>
      <c r="P114" s="167">
        <v>40295</v>
      </c>
      <c r="Q114" s="319"/>
      <c r="R114" s="169">
        <v>27443</v>
      </c>
      <c r="S114" s="169">
        <f>Q113-R114</f>
        <v>60625</v>
      </c>
    </row>
    <row r="115" spans="2:26" s="97" customFormat="1" x14ac:dyDescent="0.25">
      <c r="B115" s="94" t="s">
        <v>260</v>
      </c>
      <c r="C115" s="95"/>
      <c r="D115" s="254" t="s">
        <v>261</v>
      </c>
      <c r="E115" s="254"/>
      <c r="F115" s="254"/>
      <c r="G115" s="205"/>
      <c r="H115" s="321" t="s">
        <v>262</v>
      </c>
      <c r="I115" s="321"/>
      <c r="J115" s="321"/>
      <c r="M115" s="34" t="s">
        <v>437</v>
      </c>
      <c r="N115" s="167">
        <v>2682081.6</v>
      </c>
      <c r="O115" s="319"/>
      <c r="P115" s="167">
        <v>0</v>
      </c>
      <c r="Q115" s="319"/>
      <c r="R115" s="169"/>
      <c r="S115" s="37"/>
      <c r="T115" s="37"/>
      <c r="U115" s="37"/>
      <c r="V115" s="37"/>
      <c r="W115" s="37"/>
      <c r="X115" s="37"/>
      <c r="Y115" s="37"/>
      <c r="Z115" s="37"/>
    </row>
    <row r="116" spans="2:26" x14ac:dyDescent="0.25">
      <c r="B116" s="41"/>
      <c r="D116" s="90"/>
      <c r="E116" s="91"/>
      <c r="F116" s="203"/>
      <c r="G116" s="203"/>
      <c r="H116" s="203"/>
      <c r="I116" s="203"/>
      <c r="J116" s="203"/>
      <c r="N116" s="168">
        <f>SUM(N104:N115)</f>
        <v>31795287.999999993</v>
      </c>
      <c r="P116" s="168">
        <f>SUM(P104:P115)</f>
        <v>503728</v>
      </c>
      <c r="R116" s="168">
        <f>SUM(R104:R115)</f>
        <v>126052.5</v>
      </c>
      <c r="S116" s="168">
        <f>SUM(S104:S115)</f>
        <v>377675.5</v>
      </c>
    </row>
    <row r="117" spans="2:26" x14ac:dyDescent="0.25">
      <c r="B117" s="41"/>
      <c r="D117" s="90"/>
      <c r="E117" s="91"/>
      <c r="F117" s="203"/>
      <c r="G117" s="203"/>
      <c r="H117" s="203"/>
      <c r="I117" s="203"/>
      <c r="J117" s="203"/>
    </row>
    <row r="118" spans="2:26" x14ac:dyDescent="0.25">
      <c r="B118" s="41"/>
      <c r="D118" s="90"/>
      <c r="E118" s="91"/>
      <c r="F118" s="203"/>
      <c r="G118" s="203"/>
      <c r="H118" s="203"/>
      <c r="I118" s="203"/>
      <c r="J118" s="203"/>
      <c r="M118" s="56" t="s">
        <v>446</v>
      </c>
      <c r="R118" s="97"/>
      <c r="S118" s="97"/>
      <c r="T118" s="97"/>
      <c r="U118" s="97"/>
      <c r="V118" s="97"/>
      <c r="W118" s="97"/>
      <c r="X118" s="97"/>
      <c r="Y118" s="97"/>
      <c r="Z118" s="97"/>
    </row>
    <row r="119" spans="2:26" x14ac:dyDescent="0.25">
      <c r="B119" s="41"/>
      <c r="D119" s="90"/>
      <c r="E119" s="91"/>
      <c r="F119" s="203"/>
      <c r="G119" s="203"/>
      <c r="H119" s="203"/>
      <c r="I119" s="203"/>
      <c r="J119" s="203"/>
      <c r="N119" s="169">
        <f>N116+P116+1486391.61+8136.99+22800</f>
        <v>33816344.599999994</v>
      </c>
      <c r="O119" s="37" t="s">
        <v>447</v>
      </c>
    </row>
    <row r="120" spans="2:26" x14ac:dyDescent="0.25">
      <c r="B120" s="41"/>
      <c r="D120" s="90"/>
      <c r="E120" s="91"/>
      <c r="F120" s="203"/>
      <c r="G120" s="203"/>
      <c r="H120" s="203"/>
      <c r="I120" s="203"/>
      <c r="J120" s="203"/>
    </row>
    <row r="121" spans="2:26" x14ac:dyDescent="0.25">
      <c r="B121" s="41"/>
      <c r="D121" s="90"/>
      <c r="E121" s="91"/>
      <c r="F121" s="203"/>
      <c r="G121" s="203"/>
      <c r="H121" s="203"/>
      <c r="I121" s="203"/>
      <c r="J121" s="203"/>
      <c r="M121" s="34" t="s">
        <v>451</v>
      </c>
      <c r="N121" s="168">
        <v>1486391.61</v>
      </c>
    </row>
    <row r="122" spans="2:26" x14ac:dyDescent="0.25">
      <c r="B122" s="41"/>
      <c r="D122" s="90"/>
      <c r="E122" s="91"/>
      <c r="F122" s="203"/>
      <c r="G122" s="203"/>
      <c r="H122" s="203"/>
      <c r="I122" s="203"/>
      <c r="J122" s="203"/>
    </row>
    <row r="123" spans="2:26" x14ac:dyDescent="0.25">
      <c r="B123" s="41"/>
      <c r="D123" s="90"/>
      <c r="E123" s="91"/>
      <c r="F123" s="203"/>
      <c r="G123" s="203"/>
      <c r="H123" s="203"/>
      <c r="I123" s="203"/>
      <c r="J123" s="203"/>
    </row>
    <row r="124" spans="2:26" x14ac:dyDescent="0.25">
      <c r="B124" s="41"/>
      <c r="D124" s="90"/>
      <c r="E124" s="91"/>
      <c r="F124" s="203"/>
      <c r="G124" s="203"/>
      <c r="H124" s="203"/>
      <c r="I124" s="203"/>
      <c r="J124" s="203"/>
    </row>
    <row r="125" spans="2:26" x14ac:dyDescent="0.25">
      <c r="B125" s="41"/>
      <c r="D125" s="90"/>
      <c r="E125" s="91"/>
      <c r="F125" s="203"/>
      <c r="G125" s="203"/>
      <c r="H125" s="203"/>
      <c r="I125" s="203"/>
      <c r="J125" s="203"/>
    </row>
    <row r="126" spans="2:26" x14ac:dyDescent="0.25">
      <c r="B126" s="41"/>
      <c r="D126" s="90"/>
      <c r="E126" s="91"/>
      <c r="F126" s="203"/>
      <c r="G126" s="203"/>
      <c r="H126" s="203"/>
      <c r="I126" s="203"/>
      <c r="J126" s="203"/>
    </row>
    <row r="127" spans="2:26" x14ac:dyDescent="0.25">
      <c r="B127" s="41"/>
      <c r="D127" s="90"/>
      <c r="E127" s="91"/>
      <c r="F127" s="203"/>
      <c r="G127" s="203"/>
      <c r="H127" s="203"/>
      <c r="I127" s="203"/>
      <c r="J127" s="203"/>
    </row>
    <row r="128" spans="2:26" x14ac:dyDescent="0.25">
      <c r="B128" s="41"/>
      <c r="D128" s="90"/>
      <c r="E128" s="91"/>
      <c r="F128" s="203"/>
      <c r="G128" s="203"/>
      <c r="H128" s="203"/>
      <c r="I128" s="203"/>
      <c r="J128" s="203"/>
    </row>
    <row r="129" spans="2:10" x14ac:dyDescent="0.25">
      <c r="B129" s="41"/>
      <c r="D129" s="90"/>
      <c r="E129" s="91"/>
      <c r="F129" s="203"/>
      <c r="G129" s="203"/>
      <c r="H129" s="203"/>
      <c r="I129" s="203"/>
      <c r="J129" s="203"/>
    </row>
    <row r="130" spans="2:10" x14ac:dyDescent="0.25">
      <c r="B130" s="41"/>
      <c r="D130" s="90"/>
      <c r="E130" s="91"/>
      <c r="F130" s="203"/>
      <c r="G130" s="203"/>
      <c r="H130" s="203"/>
      <c r="I130" s="203"/>
      <c r="J130" s="203"/>
    </row>
    <row r="131" spans="2:10" x14ac:dyDescent="0.25">
      <c r="B131" s="41"/>
      <c r="D131" s="90"/>
      <c r="E131" s="91"/>
      <c r="F131" s="203"/>
      <c r="G131" s="203"/>
      <c r="H131" s="203"/>
      <c r="I131" s="203"/>
      <c r="J131" s="203"/>
    </row>
    <row r="132" spans="2:10" x14ac:dyDescent="0.25">
      <c r="B132" s="41"/>
      <c r="D132" s="90"/>
      <c r="E132" s="91"/>
      <c r="F132" s="203"/>
      <c r="G132" s="203"/>
      <c r="H132" s="203"/>
      <c r="I132" s="203"/>
      <c r="J132" s="203"/>
    </row>
    <row r="133" spans="2:10" x14ac:dyDescent="0.25">
      <c r="B133" s="41"/>
      <c r="D133" s="90"/>
      <c r="E133" s="91"/>
      <c r="F133" s="203"/>
      <c r="G133" s="203"/>
      <c r="H133" s="203"/>
      <c r="I133" s="203"/>
      <c r="J133" s="203"/>
    </row>
    <row r="134" spans="2:10" x14ac:dyDescent="0.25">
      <c r="B134" s="41"/>
      <c r="D134" s="90"/>
      <c r="E134" s="91"/>
      <c r="F134" s="203"/>
      <c r="G134" s="203"/>
      <c r="H134" s="203"/>
      <c r="I134" s="203"/>
      <c r="J134" s="203"/>
    </row>
    <row r="135" spans="2:10" x14ac:dyDescent="0.25">
      <c r="B135" s="41"/>
      <c r="D135" s="90"/>
      <c r="E135" s="91"/>
      <c r="F135" s="203"/>
      <c r="G135" s="203"/>
      <c r="H135" s="203"/>
      <c r="I135" s="203"/>
      <c r="J135" s="203"/>
    </row>
    <row r="136" spans="2:10" x14ac:dyDescent="0.25">
      <c r="B136" s="41"/>
      <c r="D136" s="90"/>
      <c r="E136" s="91"/>
      <c r="F136" s="203"/>
      <c r="G136" s="203"/>
      <c r="H136" s="203"/>
      <c r="I136" s="203"/>
      <c r="J136" s="203"/>
    </row>
    <row r="137" spans="2:10" x14ac:dyDescent="0.25">
      <c r="B137" s="41"/>
      <c r="D137" s="90"/>
      <c r="E137" s="91"/>
      <c r="F137" s="203"/>
      <c r="G137" s="203"/>
      <c r="H137" s="203"/>
      <c r="I137" s="203"/>
      <c r="J137" s="203"/>
    </row>
    <row r="138" spans="2:10" x14ac:dyDescent="0.25">
      <c r="B138" s="41"/>
      <c r="D138" s="90"/>
      <c r="E138" s="91"/>
      <c r="F138" s="203"/>
      <c r="G138" s="203"/>
      <c r="H138" s="203"/>
      <c r="I138" s="203"/>
      <c r="J138" s="203"/>
    </row>
    <row r="139" spans="2:10" x14ac:dyDescent="0.25">
      <c r="B139" s="41"/>
      <c r="D139" s="90"/>
      <c r="E139" s="91"/>
      <c r="F139" s="203"/>
      <c r="G139" s="203"/>
      <c r="H139" s="203"/>
      <c r="I139" s="203"/>
      <c r="J139" s="203"/>
    </row>
    <row r="140" spans="2:10" x14ac:dyDescent="0.25">
      <c r="B140" s="41"/>
      <c r="D140" s="90"/>
      <c r="E140" s="91"/>
      <c r="F140" s="203"/>
      <c r="G140" s="203"/>
      <c r="H140" s="203"/>
      <c r="I140" s="203"/>
      <c r="J140" s="203"/>
    </row>
    <row r="141" spans="2:10" x14ac:dyDescent="0.25">
      <c r="B141" s="41"/>
      <c r="D141" s="90"/>
      <c r="E141" s="91"/>
      <c r="F141" s="203"/>
      <c r="G141" s="203"/>
      <c r="H141" s="203"/>
      <c r="I141" s="203"/>
      <c r="J141" s="203"/>
    </row>
    <row r="142" spans="2:10" x14ac:dyDescent="0.25">
      <c r="B142" s="41"/>
      <c r="D142" s="90"/>
      <c r="E142" s="91"/>
      <c r="F142" s="203"/>
      <c r="G142" s="203"/>
      <c r="H142" s="203"/>
      <c r="I142" s="203"/>
      <c r="J142" s="203"/>
    </row>
    <row r="143" spans="2:10" x14ac:dyDescent="0.25">
      <c r="B143" s="41"/>
      <c r="D143" s="90"/>
      <c r="E143" s="91"/>
      <c r="F143" s="203"/>
      <c r="G143" s="203"/>
      <c r="H143" s="203"/>
      <c r="I143" s="203"/>
      <c r="J143" s="203"/>
    </row>
    <row r="144" spans="2:10" x14ac:dyDescent="0.25">
      <c r="B144" s="41"/>
      <c r="D144" s="90"/>
      <c r="E144" s="91"/>
      <c r="F144" s="203"/>
      <c r="G144" s="203"/>
      <c r="H144" s="203"/>
      <c r="I144" s="203"/>
      <c r="J144" s="203"/>
    </row>
    <row r="145" spans="2:17" x14ac:dyDescent="0.25">
      <c r="B145" s="41"/>
      <c r="D145" s="90"/>
      <c r="E145" s="91"/>
      <c r="F145" s="203"/>
      <c r="G145" s="203"/>
      <c r="H145" s="203"/>
      <c r="I145" s="203"/>
      <c r="J145" s="203"/>
    </row>
    <row r="146" spans="2:17" x14ac:dyDescent="0.25">
      <c r="B146" s="41"/>
      <c r="D146" s="90"/>
      <c r="E146" s="91"/>
      <c r="F146" s="203"/>
      <c r="G146" s="203"/>
      <c r="H146" s="203"/>
      <c r="I146" s="203"/>
      <c r="J146" s="203"/>
    </row>
    <row r="147" spans="2:17" x14ac:dyDescent="0.25">
      <c r="B147" s="41"/>
      <c r="D147" s="90"/>
      <c r="E147" s="91"/>
      <c r="F147" s="203"/>
      <c r="G147" s="203"/>
      <c r="H147" s="203"/>
      <c r="I147" s="203"/>
      <c r="J147" s="203"/>
    </row>
    <row r="148" spans="2:17" x14ac:dyDescent="0.25">
      <c r="B148" s="41"/>
      <c r="D148" s="90"/>
      <c r="E148" s="91"/>
      <c r="F148" s="203"/>
      <c r="G148" s="203"/>
      <c r="H148" s="203"/>
      <c r="I148" s="203"/>
      <c r="J148" s="203"/>
    </row>
    <row r="149" spans="2:17" x14ac:dyDescent="0.25">
      <c r="B149" s="41"/>
      <c r="D149" s="90"/>
      <c r="E149" s="91"/>
      <c r="F149" s="203"/>
      <c r="G149" s="203"/>
      <c r="H149" s="203"/>
      <c r="I149" s="203"/>
      <c r="J149" s="203"/>
    </row>
    <row r="150" spans="2:17" x14ac:dyDescent="0.25">
      <c r="B150" s="41"/>
      <c r="D150" s="90"/>
      <c r="E150" s="91"/>
      <c r="F150" s="203"/>
      <c r="G150" s="203"/>
      <c r="H150" s="203"/>
      <c r="I150" s="203"/>
      <c r="J150" s="203"/>
    </row>
    <row r="151" spans="2:17" x14ac:dyDescent="0.25">
      <c r="B151" s="41"/>
      <c r="D151" s="90"/>
      <c r="E151" s="91"/>
      <c r="F151" s="203"/>
      <c r="G151" s="203"/>
      <c r="H151" s="203"/>
      <c r="I151" s="203"/>
      <c r="J151" s="203"/>
    </row>
    <row r="152" spans="2:17" x14ac:dyDescent="0.25">
      <c r="B152" s="41"/>
      <c r="D152" s="90"/>
      <c r="E152" s="91"/>
      <c r="F152" s="203"/>
      <c r="G152" s="203"/>
      <c r="H152" s="203"/>
      <c r="I152" s="203"/>
      <c r="J152" s="203"/>
    </row>
    <row r="153" spans="2:17" x14ac:dyDescent="0.25">
      <c r="B153" s="41"/>
      <c r="D153" s="90"/>
      <c r="E153" s="91"/>
      <c r="F153" s="203"/>
      <c r="G153" s="203"/>
      <c r="H153" s="203"/>
      <c r="I153" s="203"/>
      <c r="J153" s="203"/>
    </row>
    <row r="154" spans="2:17" x14ac:dyDescent="0.25">
      <c r="B154" s="41"/>
      <c r="D154" s="90"/>
      <c r="E154" s="91"/>
      <c r="F154" s="203"/>
      <c r="G154" s="203"/>
      <c r="H154" s="203"/>
      <c r="I154" s="203"/>
      <c r="J154" s="203"/>
    </row>
    <row r="155" spans="2:17" x14ac:dyDescent="0.25">
      <c r="B155" s="41"/>
      <c r="D155" s="90"/>
      <c r="E155" s="91"/>
      <c r="F155" s="203"/>
      <c r="G155" s="203"/>
      <c r="H155" s="203"/>
      <c r="I155" s="203"/>
      <c r="J155" s="203"/>
    </row>
    <row r="156" spans="2:17" x14ac:dyDescent="0.25">
      <c r="B156" s="41"/>
      <c r="D156" s="90"/>
      <c r="E156" s="91"/>
      <c r="F156" s="203"/>
      <c r="G156" s="203"/>
      <c r="H156" s="203"/>
      <c r="I156" s="203"/>
      <c r="J156" s="203"/>
    </row>
    <row r="157" spans="2:17" x14ac:dyDescent="0.25">
      <c r="B157" s="98"/>
    </row>
    <row r="158" spans="2:17" x14ac:dyDescent="0.25">
      <c r="B158" s="98"/>
    </row>
    <row r="159" spans="2:17" x14ac:dyDescent="0.25">
      <c r="B159" s="98"/>
      <c r="M159" s="158"/>
      <c r="N159" s="38"/>
      <c r="O159" s="38"/>
      <c r="P159" s="38"/>
      <c r="Q159" s="38"/>
    </row>
    <row r="160" spans="2:17" x14ac:dyDescent="0.25">
      <c r="B160" s="98"/>
      <c r="M160" s="158"/>
      <c r="N160" s="38"/>
      <c r="O160" s="38"/>
      <c r="P160" s="38"/>
      <c r="Q160" s="38"/>
    </row>
    <row r="161" spans="2:26" s="38" customFormat="1" x14ac:dyDescent="0.25">
      <c r="B161" s="98"/>
      <c r="F161" s="206"/>
      <c r="G161" s="206"/>
      <c r="H161" s="206"/>
      <c r="I161" s="206"/>
      <c r="J161" s="206"/>
      <c r="M161" s="158"/>
      <c r="R161" s="37"/>
      <c r="S161" s="37"/>
      <c r="T161" s="37"/>
      <c r="U161" s="37"/>
      <c r="V161" s="37"/>
      <c r="W161" s="37"/>
      <c r="X161" s="37"/>
      <c r="Y161" s="37"/>
      <c r="Z161" s="37"/>
    </row>
    <row r="162" spans="2:26" s="38" customFormat="1" x14ac:dyDescent="0.25">
      <c r="B162" s="98"/>
      <c r="F162" s="206"/>
      <c r="G162" s="206"/>
      <c r="H162" s="206"/>
      <c r="I162" s="206"/>
      <c r="J162" s="206"/>
      <c r="M162" s="158"/>
      <c r="R162" s="37"/>
      <c r="S162" s="37"/>
      <c r="T162" s="37"/>
      <c r="U162" s="37"/>
      <c r="V162" s="37"/>
      <c r="W162" s="37"/>
      <c r="X162" s="37"/>
      <c r="Y162" s="37"/>
      <c r="Z162" s="37"/>
    </row>
    <row r="163" spans="2:26" s="38" customFormat="1" x14ac:dyDescent="0.25">
      <c r="B163" s="98"/>
      <c r="F163" s="206"/>
      <c r="G163" s="206"/>
      <c r="H163" s="206"/>
      <c r="I163" s="206"/>
      <c r="J163" s="206"/>
      <c r="M163" s="158"/>
      <c r="R163" s="37"/>
      <c r="S163" s="37"/>
      <c r="T163" s="37"/>
      <c r="U163" s="37"/>
      <c r="V163" s="37"/>
      <c r="W163" s="37"/>
      <c r="X163" s="37"/>
      <c r="Y163" s="37"/>
      <c r="Z163" s="37"/>
    </row>
    <row r="164" spans="2:26" s="38" customFormat="1" x14ac:dyDescent="0.25">
      <c r="B164" s="98"/>
      <c r="F164" s="206"/>
      <c r="G164" s="206"/>
      <c r="H164" s="206"/>
      <c r="I164" s="206"/>
      <c r="J164" s="206"/>
      <c r="M164" s="158"/>
    </row>
    <row r="165" spans="2:26" s="38" customFormat="1" x14ac:dyDescent="0.25">
      <c r="B165" s="98"/>
      <c r="F165" s="206"/>
      <c r="G165" s="206"/>
      <c r="H165" s="206"/>
      <c r="I165" s="206"/>
      <c r="J165" s="206"/>
      <c r="M165" s="158"/>
    </row>
    <row r="166" spans="2:26" s="38" customFormat="1" x14ac:dyDescent="0.25">
      <c r="B166" s="98"/>
      <c r="F166" s="206"/>
      <c r="G166" s="206"/>
      <c r="H166" s="206"/>
      <c r="I166" s="206"/>
      <c r="J166" s="206"/>
      <c r="M166" s="158"/>
    </row>
    <row r="167" spans="2:26" s="38" customFormat="1" x14ac:dyDescent="0.25">
      <c r="B167" s="98"/>
      <c r="F167" s="206"/>
      <c r="G167" s="206"/>
      <c r="H167" s="206"/>
      <c r="I167" s="206"/>
      <c r="J167" s="206"/>
      <c r="M167" s="158"/>
    </row>
    <row r="168" spans="2:26" s="38" customFormat="1" x14ac:dyDescent="0.25">
      <c r="B168" s="98"/>
      <c r="F168" s="206"/>
      <c r="G168" s="206"/>
      <c r="H168" s="206"/>
      <c r="I168" s="206"/>
      <c r="J168" s="206"/>
      <c r="M168" s="158"/>
    </row>
    <row r="169" spans="2:26" s="38" customFormat="1" x14ac:dyDescent="0.25">
      <c r="B169" s="98"/>
      <c r="F169" s="206"/>
      <c r="G169" s="206"/>
      <c r="H169" s="206"/>
      <c r="I169" s="206"/>
      <c r="J169" s="206"/>
      <c r="M169" s="158"/>
    </row>
    <row r="170" spans="2:26" s="38" customFormat="1" x14ac:dyDescent="0.25">
      <c r="B170" s="98"/>
      <c r="F170" s="206"/>
      <c r="G170" s="206"/>
      <c r="H170" s="206"/>
      <c r="I170" s="206"/>
      <c r="J170" s="206"/>
      <c r="M170" s="158"/>
    </row>
    <row r="171" spans="2:26" s="38" customFormat="1" x14ac:dyDescent="0.25">
      <c r="B171" s="98"/>
      <c r="F171" s="206"/>
      <c r="G171" s="206"/>
      <c r="H171" s="206"/>
      <c r="I171" s="206"/>
      <c r="J171" s="206"/>
      <c r="M171" s="158"/>
    </row>
    <row r="172" spans="2:26" s="38" customFormat="1" x14ac:dyDescent="0.25">
      <c r="B172" s="98"/>
      <c r="F172" s="206"/>
      <c r="G172" s="206"/>
      <c r="H172" s="206"/>
      <c r="I172" s="206"/>
      <c r="J172" s="206"/>
      <c r="M172" s="158"/>
    </row>
    <row r="173" spans="2:26" s="38" customFormat="1" x14ac:dyDescent="0.25">
      <c r="B173" s="98"/>
      <c r="F173" s="206"/>
      <c r="G173" s="206"/>
      <c r="H173" s="206"/>
      <c r="I173" s="206"/>
      <c r="J173" s="206"/>
      <c r="M173" s="158"/>
    </row>
    <row r="174" spans="2:26" s="38" customFormat="1" x14ac:dyDescent="0.25">
      <c r="B174" s="98"/>
      <c r="F174" s="206"/>
      <c r="G174" s="206"/>
      <c r="H174" s="206"/>
      <c r="I174" s="206"/>
      <c r="J174" s="206"/>
      <c r="M174" s="158"/>
    </row>
    <row r="175" spans="2:26" s="38" customFormat="1" x14ac:dyDescent="0.25">
      <c r="B175" s="98"/>
      <c r="F175" s="206"/>
      <c r="G175" s="206"/>
      <c r="H175" s="206"/>
      <c r="I175" s="206"/>
      <c r="J175" s="206"/>
      <c r="M175" s="158"/>
    </row>
    <row r="176" spans="2:26" s="38" customFormat="1" x14ac:dyDescent="0.25">
      <c r="B176" s="98"/>
      <c r="F176" s="206"/>
      <c r="G176" s="206"/>
      <c r="H176" s="206"/>
      <c r="I176" s="206"/>
      <c r="J176" s="206"/>
      <c r="M176" s="158"/>
    </row>
    <row r="177" spans="2:13" s="38" customFormat="1" x14ac:dyDescent="0.25">
      <c r="B177" s="98"/>
      <c r="F177" s="206"/>
      <c r="G177" s="206"/>
      <c r="H177" s="206"/>
      <c r="I177" s="206"/>
      <c r="J177" s="206"/>
      <c r="M177" s="158"/>
    </row>
    <row r="178" spans="2:13" s="38" customFormat="1" x14ac:dyDescent="0.25">
      <c r="B178" s="98"/>
      <c r="F178" s="206"/>
      <c r="G178" s="206"/>
      <c r="H178" s="206"/>
      <c r="I178" s="206"/>
      <c r="J178" s="206"/>
      <c r="M178" s="158"/>
    </row>
    <row r="179" spans="2:13" s="38" customFormat="1" x14ac:dyDescent="0.25">
      <c r="B179" s="98"/>
      <c r="F179" s="206"/>
      <c r="G179" s="206"/>
      <c r="H179" s="206"/>
      <c r="I179" s="206"/>
      <c r="J179" s="206"/>
      <c r="M179" s="158"/>
    </row>
    <row r="180" spans="2:13" s="38" customFormat="1" x14ac:dyDescent="0.25">
      <c r="B180" s="98"/>
      <c r="F180" s="206"/>
      <c r="G180" s="206"/>
      <c r="H180" s="206"/>
      <c r="I180" s="206"/>
      <c r="J180" s="206"/>
      <c r="M180" s="158"/>
    </row>
    <row r="181" spans="2:13" s="38" customFormat="1" x14ac:dyDescent="0.25">
      <c r="B181" s="98"/>
      <c r="F181" s="206"/>
      <c r="G181" s="206"/>
      <c r="H181" s="206"/>
      <c r="I181" s="206"/>
      <c r="J181" s="206"/>
      <c r="M181" s="158"/>
    </row>
    <row r="182" spans="2:13" s="38" customFormat="1" x14ac:dyDescent="0.25">
      <c r="B182" s="98"/>
      <c r="F182" s="206"/>
      <c r="G182" s="206"/>
      <c r="H182" s="206"/>
      <c r="I182" s="206"/>
      <c r="J182" s="206"/>
      <c r="M182" s="158"/>
    </row>
    <row r="183" spans="2:13" s="38" customFormat="1" x14ac:dyDescent="0.25">
      <c r="B183" s="98"/>
      <c r="F183" s="206"/>
      <c r="G183" s="206"/>
      <c r="H183" s="206"/>
      <c r="I183" s="206"/>
      <c r="J183" s="206"/>
      <c r="M183" s="158"/>
    </row>
    <row r="184" spans="2:13" s="38" customFormat="1" x14ac:dyDescent="0.25">
      <c r="B184" s="98"/>
      <c r="F184" s="206"/>
      <c r="G184" s="206"/>
      <c r="H184" s="206"/>
      <c r="I184" s="206"/>
      <c r="J184" s="206"/>
      <c r="M184" s="158"/>
    </row>
    <row r="185" spans="2:13" s="38" customFormat="1" x14ac:dyDescent="0.25">
      <c r="B185" s="98"/>
      <c r="F185" s="206"/>
      <c r="G185" s="206"/>
      <c r="H185" s="206"/>
      <c r="I185" s="206"/>
      <c r="J185" s="206"/>
      <c r="M185" s="158"/>
    </row>
    <row r="186" spans="2:13" s="38" customFormat="1" x14ac:dyDescent="0.25">
      <c r="B186" s="98"/>
      <c r="F186" s="206"/>
      <c r="G186" s="206"/>
      <c r="H186" s="206"/>
      <c r="I186" s="206"/>
      <c r="J186" s="206"/>
      <c r="M186" s="158"/>
    </row>
    <row r="187" spans="2:13" s="38" customFormat="1" x14ac:dyDescent="0.25">
      <c r="B187" s="98"/>
      <c r="F187" s="206"/>
      <c r="G187" s="206"/>
      <c r="H187" s="206"/>
      <c r="I187" s="206"/>
      <c r="J187" s="206"/>
      <c r="M187" s="158"/>
    </row>
    <row r="188" spans="2:13" s="38" customFormat="1" x14ac:dyDescent="0.25">
      <c r="B188" s="98"/>
      <c r="F188" s="206"/>
      <c r="G188" s="206"/>
      <c r="H188" s="206"/>
      <c r="I188" s="206"/>
      <c r="J188" s="206"/>
      <c r="M188" s="158"/>
    </row>
    <row r="189" spans="2:13" s="38" customFormat="1" x14ac:dyDescent="0.25">
      <c r="B189" s="98"/>
      <c r="F189" s="206"/>
      <c r="G189" s="206"/>
      <c r="H189" s="206"/>
      <c r="I189" s="206"/>
      <c r="J189" s="206"/>
      <c r="M189" s="158"/>
    </row>
    <row r="190" spans="2:13" s="38" customFormat="1" x14ac:dyDescent="0.25">
      <c r="B190" s="98"/>
      <c r="F190" s="206"/>
      <c r="G190" s="206"/>
      <c r="H190" s="206"/>
      <c r="I190" s="206"/>
      <c r="J190" s="206"/>
      <c r="M190" s="158"/>
    </row>
    <row r="191" spans="2:13" s="38" customFormat="1" x14ac:dyDescent="0.25">
      <c r="B191" s="98"/>
      <c r="F191" s="206"/>
      <c r="G191" s="206"/>
      <c r="H191" s="206"/>
      <c r="I191" s="206"/>
      <c r="J191" s="206"/>
      <c r="M191" s="158"/>
    </row>
    <row r="192" spans="2:13" s="38" customFormat="1" x14ac:dyDescent="0.25">
      <c r="B192" s="98"/>
      <c r="F192" s="206"/>
      <c r="G192" s="206"/>
      <c r="H192" s="206"/>
      <c r="I192" s="206"/>
      <c r="J192" s="206"/>
      <c r="M192" s="158"/>
    </row>
    <row r="193" spans="2:13" s="38" customFormat="1" x14ac:dyDescent="0.25">
      <c r="B193" s="98"/>
      <c r="F193" s="206"/>
      <c r="G193" s="206"/>
      <c r="H193" s="206"/>
      <c r="I193" s="206"/>
      <c r="J193" s="206"/>
      <c r="M193" s="158"/>
    </row>
    <row r="194" spans="2:13" s="38" customFormat="1" x14ac:dyDescent="0.25">
      <c r="B194" s="98"/>
      <c r="F194" s="206"/>
      <c r="G194" s="206"/>
      <c r="H194" s="206"/>
      <c r="I194" s="206"/>
      <c r="J194" s="206"/>
      <c r="M194" s="158"/>
    </row>
    <row r="195" spans="2:13" s="38" customFormat="1" x14ac:dyDescent="0.25">
      <c r="B195" s="98"/>
      <c r="F195" s="206"/>
      <c r="G195" s="206"/>
      <c r="H195" s="206"/>
      <c r="I195" s="206"/>
      <c r="J195" s="206"/>
      <c r="M195" s="158"/>
    </row>
    <row r="196" spans="2:13" s="38" customFormat="1" x14ac:dyDescent="0.25">
      <c r="B196" s="98"/>
      <c r="F196" s="206"/>
      <c r="G196" s="206"/>
      <c r="H196" s="206"/>
      <c r="I196" s="206"/>
      <c r="J196" s="206"/>
      <c r="M196" s="158"/>
    </row>
    <row r="197" spans="2:13" s="38" customFormat="1" x14ac:dyDescent="0.25">
      <c r="B197" s="98"/>
      <c r="F197" s="206"/>
      <c r="G197" s="206"/>
      <c r="H197" s="206"/>
      <c r="I197" s="206"/>
      <c r="J197" s="206"/>
      <c r="M197" s="158"/>
    </row>
    <row r="198" spans="2:13" s="38" customFormat="1" x14ac:dyDescent="0.25">
      <c r="B198" s="98"/>
      <c r="F198" s="206"/>
      <c r="G198" s="206"/>
      <c r="H198" s="206"/>
      <c r="I198" s="206"/>
      <c r="J198" s="206"/>
      <c r="M198" s="158"/>
    </row>
    <row r="199" spans="2:13" s="38" customFormat="1" x14ac:dyDescent="0.25">
      <c r="B199" s="98"/>
      <c r="F199" s="206"/>
      <c r="G199" s="206"/>
      <c r="H199" s="206"/>
      <c r="I199" s="206"/>
      <c r="J199" s="206"/>
      <c r="M199" s="158"/>
    </row>
    <row r="200" spans="2:13" s="38" customFormat="1" x14ac:dyDescent="0.25">
      <c r="B200" s="98"/>
      <c r="F200" s="206"/>
      <c r="G200" s="206"/>
      <c r="H200" s="206"/>
      <c r="I200" s="206"/>
      <c r="J200" s="206"/>
      <c r="M200" s="158"/>
    </row>
    <row r="201" spans="2:13" s="38" customFormat="1" x14ac:dyDescent="0.25">
      <c r="B201" s="98"/>
      <c r="F201" s="206"/>
      <c r="G201" s="206"/>
      <c r="H201" s="206"/>
      <c r="I201" s="206"/>
      <c r="J201" s="206"/>
      <c r="M201" s="158"/>
    </row>
    <row r="202" spans="2:13" s="38" customFormat="1" x14ac:dyDescent="0.25">
      <c r="B202" s="98"/>
      <c r="F202" s="206"/>
      <c r="G202" s="206"/>
      <c r="H202" s="206"/>
      <c r="I202" s="206"/>
      <c r="J202" s="206"/>
      <c r="M202" s="158"/>
    </row>
    <row r="203" spans="2:13" s="38" customFormat="1" x14ac:dyDescent="0.25">
      <c r="B203" s="98"/>
      <c r="F203" s="206"/>
      <c r="G203" s="206"/>
      <c r="H203" s="206"/>
      <c r="I203" s="206"/>
      <c r="J203" s="206"/>
      <c r="M203" s="158"/>
    </row>
    <row r="204" spans="2:13" s="38" customFormat="1" x14ac:dyDescent="0.25">
      <c r="B204" s="98"/>
      <c r="F204" s="206"/>
      <c r="G204" s="206"/>
      <c r="H204" s="206"/>
      <c r="I204" s="206"/>
      <c r="J204" s="206"/>
      <c r="M204" s="158"/>
    </row>
    <row r="205" spans="2:13" s="38" customFormat="1" x14ac:dyDescent="0.25">
      <c r="B205" s="98"/>
      <c r="F205" s="206"/>
      <c r="G205" s="206"/>
      <c r="H205" s="206"/>
      <c r="I205" s="206"/>
      <c r="J205" s="206"/>
      <c r="M205" s="158"/>
    </row>
    <row r="206" spans="2:13" s="38" customFormat="1" x14ac:dyDescent="0.25">
      <c r="B206" s="98"/>
      <c r="F206" s="206"/>
      <c r="G206" s="206"/>
      <c r="H206" s="206"/>
      <c r="I206" s="206"/>
      <c r="J206" s="206"/>
      <c r="M206" s="158"/>
    </row>
    <row r="207" spans="2:13" s="38" customFormat="1" x14ac:dyDescent="0.25">
      <c r="B207" s="98"/>
      <c r="F207" s="206"/>
      <c r="G207" s="206"/>
      <c r="H207" s="206"/>
      <c r="I207" s="206"/>
      <c r="J207" s="206"/>
      <c r="M207" s="158"/>
    </row>
    <row r="208" spans="2:13" s="38" customFormat="1" x14ac:dyDescent="0.25">
      <c r="B208" s="98"/>
      <c r="F208" s="206"/>
      <c r="G208" s="206"/>
      <c r="H208" s="206"/>
      <c r="I208" s="206"/>
      <c r="J208" s="206"/>
      <c r="M208" s="158"/>
    </row>
    <row r="209" spans="2:13" s="38" customFormat="1" x14ac:dyDescent="0.25">
      <c r="B209" s="98"/>
      <c r="F209" s="206"/>
      <c r="G209" s="206"/>
      <c r="H209" s="206"/>
      <c r="I209" s="206"/>
      <c r="J209" s="206"/>
      <c r="M209" s="158"/>
    </row>
    <row r="210" spans="2:13" s="38" customFormat="1" x14ac:dyDescent="0.25">
      <c r="B210" s="98"/>
      <c r="F210" s="206"/>
      <c r="G210" s="206"/>
      <c r="H210" s="206"/>
      <c r="I210" s="206"/>
      <c r="J210" s="206"/>
      <c r="M210" s="158"/>
    </row>
    <row r="211" spans="2:13" s="38" customFormat="1" x14ac:dyDescent="0.25">
      <c r="B211" s="98"/>
      <c r="F211" s="206"/>
      <c r="G211" s="206"/>
      <c r="H211" s="206"/>
      <c r="I211" s="206"/>
      <c r="J211" s="206"/>
      <c r="M211" s="158"/>
    </row>
    <row r="212" spans="2:13" s="38" customFormat="1" x14ac:dyDescent="0.25">
      <c r="B212" s="98"/>
      <c r="F212" s="206"/>
      <c r="G212" s="206"/>
      <c r="H212" s="206"/>
      <c r="I212" s="206"/>
      <c r="J212" s="206"/>
      <c r="M212" s="158"/>
    </row>
    <row r="213" spans="2:13" s="38" customFormat="1" x14ac:dyDescent="0.25">
      <c r="B213" s="98"/>
      <c r="F213" s="206"/>
      <c r="G213" s="206"/>
      <c r="H213" s="206"/>
      <c r="I213" s="206"/>
      <c r="J213" s="206"/>
      <c r="M213" s="158"/>
    </row>
    <row r="214" spans="2:13" s="38" customFormat="1" x14ac:dyDescent="0.25">
      <c r="B214" s="98"/>
      <c r="F214" s="206"/>
      <c r="G214" s="206"/>
      <c r="H214" s="206"/>
      <c r="I214" s="206"/>
      <c r="J214" s="206"/>
      <c r="M214" s="158"/>
    </row>
    <row r="215" spans="2:13" s="38" customFormat="1" x14ac:dyDescent="0.25">
      <c r="B215" s="98"/>
      <c r="F215" s="206"/>
      <c r="G215" s="206"/>
      <c r="H215" s="206"/>
      <c r="I215" s="206"/>
      <c r="J215" s="206"/>
      <c r="M215" s="158"/>
    </row>
    <row r="216" spans="2:13" s="38" customFormat="1" x14ac:dyDescent="0.25">
      <c r="B216" s="98"/>
      <c r="F216" s="206"/>
      <c r="G216" s="206"/>
      <c r="H216" s="206"/>
      <c r="I216" s="206"/>
      <c r="J216" s="206"/>
      <c r="M216" s="158"/>
    </row>
    <row r="217" spans="2:13" s="38" customFormat="1" x14ac:dyDescent="0.25">
      <c r="B217" s="98"/>
      <c r="F217" s="206"/>
      <c r="G217" s="206"/>
      <c r="H217" s="206"/>
      <c r="I217" s="206"/>
      <c r="J217" s="206"/>
      <c r="M217" s="158"/>
    </row>
    <row r="218" spans="2:13" s="38" customFormat="1" x14ac:dyDescent="0.25">
      <c r="B218" s="98"/>
      <c r="F218" s="206"/>
      <c r="G218" s="206"/>
      <c r="H218" s="206"/>
      <c r="I218" s="206"/>
      <c r="J218" s="206"/>
      <c r="M218" s="158"/>
    </row>
    <row r="219" spans="2:13" s="38" customFormat="1" x14ac:dyDescent="0.25">
      <c r="B219" s="98"/>
      <c r="F219" s="206"/>
      <c r="G219" s="206"/>
      <c r="H219" s="206"/>
      <c r="I219" s="206"/>
      <c r="J219" s="206"/>
      <c r="M219" s="158"/>
    </row>
    <row r="220" spans="2:13" s="38" customFormat="1" x14ac:dyDescent="0.25">
      <c r="B220" s="98"/>
      <c r="F220" s="206"/>
      <c r="G220" s="206"/>
      <c r="H220" s="206"/>
      <c r="I220" s="206"/>
      <c r="J220" s="206"/>
      <c r="M220" s="158"/>
    </row>
    <row r="221" spans="2:13" s="38" customFormat="1" x14ac:dyDescent="0.25">
      <c r="B221" s="98"/>
      <c r="F221" s="206"/>
      <c r="G221" s="206"/>
      <c r="H221" s="206"/>
      <c r="I221" s="206"/>
      <c r="J221" s="206"/>
      <c r="M221" s="158"/>
    </row>
    <row r="222" spans="2:13" s="38" customFormat="1" x14ac:dyDescent="0.25">
      <c r="B222" s="98"/>
      <c r="F222" s="206"/>
      <c r="G222" s="206"/>
      <c r="H222" s="206"/>
      <c r="I222" s="206"/>
      <c r="J222" s="206"/>
      <c r="M222" s="158"/>
    </row>
    <row r="223" spans="2:13" s="38" customFormat="1" x14ac:dyDescent="0.25">
      <c r="B223" s="98"/>
      <c r="F223" s="206"/>
      <c r="G223" s="206"/>
      <c r="H223" s="206"/>
      <c r="I223" s="206"/>
      <c r="J223" s="206"/>
      <c r="M223" s="158"/>
    </row>
    <row r="224" spans="2:13" s="38" customFormat="1" x14ac:dyDescent="0.25">
      <c r="B224" s="98"/>
      <c r="F224" s="206"/>
      <c r="G224" s="206"/>
      <c r="H224" s="206"/>
      <c r="I224" s="206"/>
      <c r="J224" s="206"/>
      <c r="M224" s="158"/>
    </row>
    <row r="225" spans="2:13" s="38" customFormat="1" x14ac:dyDescent="0.25">
      <c r="B225" s="98"/>
      <c r="F225" s="206"/>
      <c r="G225" s="206"/>
      <c r="H225" s="206"/>
      <c r="I225" s="206"/>
      <c r="J225" s="206"/>
      <c r="M225" s="158"/>
    </row>
    <row r="226" spans="2:13" s="38" customFormat="1" x14ac:dyDescent="0.25">
      <c r="B226" s="98"/>
      <c r="F226" s="206"/>
      <c r="G226" s="206"/>
      <c r="H226" s="206"/>
      <c r="I226" s="206"/>
      <c r="J226" s="206"/>
      <c r="M226" s="158"/>
    </row>
    <row r="227" spans="2:13" s="38" customFormat="1" x14ac:dyDescent="0.25">
      <c r="B227" s="98"/>
      <c r="F227" s="206"/>
      <c r="G227" s="206"/>
      <c r="H227" s="206"/>
      <c r="I227" s="206"/>
      <c r="J227" s="206"/>
      <c r="M227" s="158"/>
    </row>
    <row r="228" spans="2:13" s="38" customFormat="1" x14ac:dyDescent="0.25">
      <c r="B228" s="98"/>
      <c r="F228" s="206"/>
      <c r="G228" s="206"/>
      <c r="H228" s="206"/>
      <c r="I228" s="206"/>
      <c r="J228" s="206"/>
      <c r="M228" s="158"/>
    </row>
    <row r="229" spans="2:13" s="38" customFormat="1" x14ac:dyDescent="0.25">
      <c r="B229" s="98"/>
      <c r="F229" s="206"/>
      <c r="G229" s="206"/>
      <c r="H229" s="206"/>
      <c r="I229" s="206"/>
      <c r="J229" s="206"/>
      <c r="M229" s="158"/>
    </row>
    <row r="230" spans="2:13" s="38" customFormat="1" x14ac:dyDescent="0.25">
      <c r="B230" s="98"/>
      <c r="F230" s="206"/>
      <c r="G230" s="206"/>
      <c r="H230" s="206"/>
      <c r="I230" s="206"/>
      <c r="J230" s="206"/>
      <c r="M230" s="158"/>
    </row>
    <row r="231" spans="2:13" s="38" customFormat="1" x14ac:dyDescent="0.25">
      <c r="B231" s="98"/>
      <c r="F231" s="206"/>
      <c r="G231" s="206"/>
      <c r="H231" s="206"/>
      <c r="I231" s="206"/>
      <c r="J231" s="206"/>
      <c r="M231" s="158"/>
    </row>
    <row r="232" spans="2:13" s="38" customFormat="1" x14ac:dyDescent="0.25">
      <c r="B232" s="98"/>
      <c r="F232" s="206"/>
      <c r="G232" s="206"/>
      <c r="H232" s="206"/>
      <c r="I232" s="206"/>
      <c r="J232" s="206"/>
      <c r="M232" s="158"/>
    </row>
    <row r="233" spans="2:13" s="38" customFormat="1" x14ac:dyDescent="0.25">
      <c r="B233" s="98"/>
      <c r="F233" s="206"/>
      <c r="G233" s="206"/>
      <c r="H233" s="206"/>
      <c r="I233" s="206"/>
      <c r="J233" s="206"/>
      <c r="M233" s="158"/>
    </row>
    <row r="234" spans="2:13" s="38" customFormat="1" x14ac:dyDescent="0.25">
      <c r="B234" s="98"/>
      <c r="F234" s="206"/>
      <c r="G234" s="206"/>
      <c r="H234" s="206"/>
      <c r="I234" s="206"/>
      <c r="J234" s="206"/>
      <c r="M234" s="158"/>
    </row>
    <row r="235" spans="2:13" s="38" customFormat="1" x14ac:dyDescent="0.25">
      <c r="B235" s="98"/>
      <c r="F235" s="206"/>
      <c r="G235" s="206"/>
      <c r="H235" s="206"/>
      <c r="I235" s="206"/>
      <c r="J235" s="206"/>
      <c r="M235" s="158"/>
    </row>
    <row r="236" spans="2:13" s="38" customFormat="1" x14ac:dyDescent="0.25">
      <c r="B236" s="98"/>
      <c r="F236" s="206"/>
      <c r="G236" s="206"/>
      <c r="H236" s="206"/>
      <c r="I236" s="206"/>
      <c r="J236" s="206"/>
      <c r="M236" s="158"/>
    </row>
    <row r="237" spans="2:13" s="38" customFormat="1" x14ac:dyDescent="0.25">
      <c r="B237" s="98"/>
      <c r="F237" s="206"/>
      <c r="G237" s="206"/>
      <c r="H237" s="206"/>
      <c r="I237" s="206"/>
      <c r="J237" s="206"/>
      <c r="M237" s="158"/>
    </row>
    <row r="238" spans="2:13" s="38" customFormat="1" x14ac:dyDescent="0.25">
      <c r="B238" s="98"/>
      <c r="F238" s="206"/>
      <c r="G238" s="206"/>
      <c r="H238" s="206"/>
      <c r="I238" s="206"/>
      <c r="J238" s="206"/>
      <c r="M238" s="158"/>
    </row>
    <row r="239" spans="2:13" s="38" customFormat="1" x14ac:dyDescent="0.25">
      <c r="B239" s="98"/>
      <c r="F239" s="206"/>
      <c r="G239" s="206"/>
      <c r="H239" s="206"/>
      <c r="I239" s="206"/>
      <c r="J239" s="206"/>
      <c r="M239" s="158"/>
    </row>
    <row r="240" spans="2:13" s="38" customFormat="1" x14ac:dyDescent="0.25">
      <c r="B240" s="98"/>
      <c r="F240" s="206"/>
      <c r="G240" s="206"/>
      <c r="H240" s="206"/>
      <c r="I240" s="206"/>
      <c r="J240" s="206"/>
      <c r="M240" s="158"/>
    </row>
    <row r="241" spans="2:13" s="38" customFormat="1" x14ac:dyDescent="0.25">
      <c r="B241" s="98"/>
      <c r="F241" s="206"/>
      <c r="G241" s="206"/>
      <c r="H241" s="206"/>
      <c r="I241" s="206"/>
      <c r="J241" s="206"/>
      <c r="M241" s="158"/>
    </row>
    <row r="242" spans="2:13" s="38" customFormat="1" x14ac:dyDescent="0.25">
      <c r="B242" s="98"/>
      <c r="F242" s="206"/>
      <c r="G242" s="206"/>
      <c r="H242" s="206"/>
      <c r="I242" s="206"/>
      <c r="J242" s="206"/>
      <c r="M242" s="158"/>
    </row>
    <row r="243" spans="2:13" s="38" customFormat="1" x14ac:dyDescent="0.25">
      <c r="B243" s="98"/>
      <c r="F243" s="206"/>
      <c r="G243" s="206"/>
      <c r="H243" s="206"/>
      <c r="I243" s="206"/>
      <c r="J243" s="206"/>
      <c r="M243" s="158"/>
    </row>
    <row r="244" spans="2:13" s="38" customFormat="1" x14ac:dyDescent="0.25">
      <c r="B244" s="98"/>
      <c r="F244" s="206"/>
      <c r="G244" s="206"/>
      <c r="H244" s="206"/>
      <c r="I244" s="206"/>
      <c r="J244" s="206"/>
      <c r="M244" s="158"/>
    </row>
    <row r="245" spans="2:13" s="38" customFormat="1" x14ac:dyDescent="0.25">
      <c r="B245" s="98"/>
      <c r="F245" s="206"/>
      <c r="G245" s="206"/>
      <c r="H245" s="206"/>
      <c r="I245" s="206"/>
      <c r="J245" s="206"/>
      <c r="M245" s="158"/>
    </row>
    <row r="246" spans="2:13" s="38" customFormat="1" x14ac:dyDescent="0.25">
      <c r="B246" s="98"/>
      <c r="F246" s="206"/>
      <c r="G246" s="206"/>
      <c r="H246" s="206"/>
      <c r="I246" s="206"/>
      <c r="J246" s="206"/>
      <c r="M246" s="158"/>
    </row>
    <row r="247" spans="2:13" s="38" customFormat="1" x14ac:dyDescent="0.25">
      <c r="B247" s="98"/>
      <c r="F247" s="206"/>
      <c r="G247" s="206"/>
      <c r="H247" s="206"/>
      <c r="I247" s="206"/>
      <c r="J247" s="206"/>
      <c r="M247" s="158"/>
    </row>
    <row r="248" spans="2:13" s="38" customFormat="1" x14ac:dyDescent="0.25">
      <c r="B248" s="98"/>
      <c r="F248" s="206"/>
      <c r="G248" s="206"/>
      <c r="H248" s="206"/>
      <c r="I248" s="206"/>
      <c r="J248" s="206"/>
      <c r="M248" s="158"/>
    </row>
    <row r="249" spans="2:13" s="38" customFormat="1" x14ac:dyDescent="0.25">
      <c r="B249" s="98"/>
      <c r="F249" s="206"/>
      <c r="G249" s="206"/>
      <c r="H249" s="206"/>
      <c r="I249" s="206"/>
      <c r="J249" s="206"/>
      <c r="M249" s="158"/>
    </row>
    <row r="250" spans="2:13" s="38" customFormat="1" x14ac:dyDescent="0.25">
      <c r="B250" s="98"/>
      <c r="F250" s="206"/>
      <c r="G250" s="206"/>
      <c r="H250" s="206"/>
      <c r="I250" s="206"/>
      <c r="J250" s="206"/>
      <c r="M250" s="158"/>
    </row>
    <row r="251" spans="2:13" s="38" customFormat="1" x14ac:dyDescent="0.25">
      <c r="B251" s="98"/>
      <c r="F251" s="206"/>
      <c r="G251" s="206"/>
      <c r="H251" s="206"/>
      <c r="I251" s="206"/>
      <c r="J251" s="206"/>
      <c r="M251" s="158"/>
    </row>
    <row r="252" spans="2:13" s="38" customFormat="1" x14ac:dyDescent="0.25">
      <c r="B252" s="98"/>
      <c r="F252" s="206"/>
      <c r="G252" s="206"/>
      <c r="H252" s="206"/>
      <c r="I252" s="206"/>
      <c r="J252" s="206"/>
      <c r="M252" s="158"/>
    </row>
    <row r="253" spans="2:13" s="38" customFormat="1" x14ac:dyDescent="0.25">
      <c r="B253" s="98"/>
      <c r="F253" s="206"/>
      <c r="G253" s="206"/>
      <c r="H253" s="206"/>
      <c r="I253" s="206"/>
      <c r="J253" s="206"/>
      <c r="M253" s="158"/>
    </row>
    <row r="254" spans="2:13" s="38" customFormat="1" x14ac:dyDescent="0.25">
      <c r="B254" s="98"/>
      <c r="F254" s="206"/>
      <c r="G254" s="206"/>
      <c r="H254" s="206"/>
      <c r="I254" s="206"/>
      <c r="J254" s="206"/>
      <c r="M254" s="158"/>
    </row>
    <row r="255" spans="2:13" s="38" customFormat="1" x14ac:dyDescent="0.25">
      <c r="B255" s="98"/>
      <c r="F255" s="206"/>
      <c r="G255" s="206"/>
      <c r="H255" s="206"/>
      <c r="I255" s="206"/>
      <c r="J255" s="206"/>
      <c r="M255" s="158"/>
    </row>
    <row r="256" spans="2:13" s="38" customFormat="1" x14ac:dyDescent="0.25">
      <c r="B256" s="98"/>
      <c r="F256" s="206"/>
      <c r="G256" s="206"/>
      <c r="H256" s="206"/>
      <c r="I256" s="206"/>
      <c r="J256" s="206"/>
      <c r="M256" s="158"/>
    </row>
    <row r="257" spans="2:13" s="38" customFormat="1" x14ac:dyDescent="0.25">
      <c r="B257" s="98"/>
      <c r="F257" s="206"/>
      <c r="G257" s="206"/>
      <c r="H257" s="206"/>
      <c r="I257" s="206"/>
      <c r="J257" s="206"/>
      <c r="M257" s="158"/>
    </row>
    <row r="258" spans="2:13" s="38" customFormat="1" x14ac:dyDescent="0.25">
      <c r="B258" s="98"/>
      <c r="F258" s="206"/>
      <c r="G258" s="206"/>
      <c r="H258" s="206"/>
      <c r="I258" s="206"/>
      <c r="J258" s="206"/>
      <c r="M258" s="158"/>
    </row>
    <row r="259" spans="2:13" s="38" customFormat="1" x14ac:dyDescent="0.25">
      <c r="B259" s="98"/>
      <c r="F259" s="206"/>
      <c r="G259" s="206"/>
      <c r="H259" s="206"/>
      <c r="I259" s="206"/>
      <c r="J259" s="206"/>
      <c r="M259" s="158"/>
    </row>
    <row r="260" spans="2:13" s="38" customFormat="1" x14ac:dyDescent="0.25">
      <c r="B260" s="98"/>
      <c r="F260" s="206"/>
      <c r="G260" s="206"/>
      <c r="H260" s="206"/>
      <c r="I260" s="206"/>
      <c r="J260" s="206"/>
      <c r="M260" s="158"/>
    </row>
    <row r="261" spans="2:13" s="38" customFormat="1" x14ac:dyDescent="0.25">
      <c r="B261" s="98"/>
      <c r="F261" s="206"/>
      <c r="G261" s="206"/>
      <c r="H261" s="206"/>
      <c r="I261" s="206"/>
      <c r="J261" s="206"/>
      <c r="M261" s="158"/>
    </row>
    <row r="262" spans="2:13" s="38" customFormat="1" x14ac:dyDescent="0.25">
      <c r="B262" s="98"/>
      <c r="F262" s="206"/>
      <c r="G262" s="206"/>
      <c r="H262" s="206"/>
      <c r="I262" s="206"/>
      <c r="J262" s="206"/>
      <c r="M262" s="158"/>
    </row>
    <row r="263" spans="2:13" s="38" customFormat="1" x14ac:dyDescent="0.25">
      <c r="B263" s="98"/>
      <c r="F263" s="206"/>
      <c r="G263" s="206"/>
      <c r="H263" s="206"/>
      <c r="I263" s="206"/>
      <c r="J263" s="206"/>
      <c r="M263" s="158"/>
    </row>
    <row r="264" spans="2:13" s="38" customFormat="1" x14ac:dyDescent="0.25">
      <c r="B264" s="98"/>
      <c r="F264" s="206"/>
      <c r="G264" s="206"/>
      <c r="H264" s="206"/>
      <c r="I264" s="206"/>
      <c r="J264" s="206"/>
      <c r="M264" s="158"/>
    </row>
    <row r="265" spans="2:13" s="38" customFormat="1" x14ac:dyDescent="0.25">
      <c r="B265" s="98"/>
      <c r="F265" s="206"/>
      <c r="G265" s="206"/>
      <c r="H265" s="206"/>
      <c r="I265" s="206"/>
      <c r="J265" s="206"/>
      <c r="M265" s="158"/>
    </row>
    <row r="266" spans="2:13" s="38" customFormat="1" x14ac:dyDescent="0.25">
      <c r="B266" s="98"/>
      <c r="F266" s="206"/>
      <c r="G266" s="206"/>
      <c r="H266" s="206"/>
      <c r="I266" s="206"/>
      <c r="J266" s="206"/>
      <c r="M266" s="158"/>
    </row>
    <row r="267" spans="2:13" s="38" customFormat="1" x14ac:dyDescent="0.25">
      <c r="B267" s="98"/>
      <c r="F267" s="206"/>
      <c r="G267" s="206"/>
      <c r="H267" s="206"/>
      <c r="I267" s="206"/>
      <c r="J267" s="206"/>
      <c r="M267" s="158"/>
    </row>
    <row r="268" spans="2:13" s="38" customFormat="1" x14ac:dyDescent="0.25">
      <c r="B268" s="98"/>
      <c r="F268" s="206"/>
      <c r="G268" s="206"/>
      <c r="H268" s="206"/>
      <c r="I268" s="206"/>
      <c r="J268" s="206"/>
      <c r="M268" s="158"/>
    </row>
    <row r="269" spans="2:13" s="38" customFormat="1" x14ac:dyDescent="0.25">
      <c r="B269" s="98"/>
      <c r="F269" s="206"/>
      <c r="G269" s="206"/>
      <c r="H269" s="206"/>
      <c r="I269" s="206"/>
      <c r="J269" s="206"/>
      <c r="M269" s="158"/>
    </row>
    <row r="270" spans="2:13" s="38" customFormat="1" x14ac:dyDescent="0.25">
      <c r="B270" s="98"/>
      <c r="F270" s="206"/>
      <c r="G270" s="206"/>
      <c r="H270" s="206"/>
      <c r="I270" s="206"/>
      <c r="J270" s="206"/>
      <c r="M270" s="158"/>
    </row>
    <row r="271" spans="2:13" s="38" customFormat="1" x14ac:dyDescent="0.25">
      <c r="B271" s="98"/>
      <c r="F271" s="206"/>
      <c r="G271" s="206"/>
      <c r="H271" s="206"/>
      <c r="I271" s="206"/>
      <c r="J271" s="206"/>
      <c r="M271" s="158"/>
    </row>
    <row r="272" spans="2:13" s="38" customFormat="1" x14ac:dyDescent="0.25">
      <c r="B272" s="98"/>
      <c r="F272" s="206"/>
      <c r="G272" s="206"/>
      <c r="H272" s="206"/>
      <c r="I272" s="206"/>
      <c r="J272" s="206"/>
      <c r="M272" s="158"/>
    </row>
    <row r="273" spans="2:13" s="38" customFormat="1" x14ac:dyDescent="0.25">
      <c r="B273" s="98"/>
      <c r="F273" s="206"/>
      <c r="G273" s="206"/>
      <c r="H273" s="206"/>
      <c r="I273" s="206"/>
      <c r="J273" s="206"/>
      <c r="M273" s="158"/>
    </row>
    <row r="274" spans="2:13" s="38" customFormat="1" x14ac:dyDescent="0.25">
      <c r="B274" s="98"/>
      <c r="F274" s="206"/>
      <c r="G274" s="206"/>
      <c r="H274" s="206"/>
      <c r="I274" s="206"/>
      <c r="J274" s="206"/>
      <c r="M274" s="158"/>
    </row>
    <row r="275" spans="2:13" s="38" customFormat="1" x14ac:dyDescent="0.25">
      <c r="B275" s="98"/>
      <c r="F275" s="206"/>
      <c r="G275" s="206"/>
      <c r="H275" s="206"/>
      <c r="I275" s="206"/>
      <c r="J275" s="206"/>
      <c r="M275" s="158"/>
    </row>
    <row r="276" spans="2:13" s="38" customFormat="1" x14ac:dyDescent="0.25">
      <c r="B276" s="98"/>
      <c r="F276" s="206"/>
      <c r="G276" s="206"/>
      <c r="H276" s="206"/>
      <c r="I276" s="206"/>
      <c r="J276" s="206"/>
      <c r="M276" s="158"/>
    </row>
    <row r="277" spans="2:13" s="38" customFormat="1" x14ac:dyDescent="0.25">
      <c r="B277" s="98"/>
      <c r="F277" s="206"/>
      <c r="G277" s="206"/>
      <c r="H277" s="206"/>
      <c r="I277" s="206"/>
      <c r="J277" s="206"/>
      <c r="M277" s="158"/>
    </row>
    <row r="278" spans="2:13" s="38" customFormat="1" x14ac:dyDescent="0.25">
      <c r="B278" s="98"/>
      <c r="F278" s="206"/>
      <c r="G278" s="206"/>
      <c r="H278" s="206"/>
      <c r="I278" s="206"/>
      <c r="J278" s="206"/>
      <c r="M278" s="158"/>
    </row>
    <row r="279" spans="2:13" s="38" customFormat="1" x14ac:dyDescent="0.25">
      <c r="B279" s="98"/>
      <c r="F279" s="206"/>
      <c r="G279" s="206"/>
      <c r="H279" s="206"/>
      <c r="I279" s="206"/>
      <c r="J279" s="206"/>
      <c r="M279" s="158"/>
    </row>
    <row r="280" spans="2:13" s="38" customFormat="1" x14ac:dyDescent="0.25">
      <c r="B280" s="98"/>
      <c r="F280" s="206"/>
      <c r="G280" s="206"/>
      <c r="H280" s="206"/>
      <c r="I280" s="206"/>
      <c r="J280" s="206"/>
      <c r="M280" s="158"/>
    </row>
    <row r="281" spans="2:13" s="38" customFormat="1" x14ac:dyDescent="0.25">
      <c r="B281" s="98"/>
      <c r="F281" s="206"/>
      <c r="G281" s="206"/>
      <c r="H281" s="206"/>
      <c r="I281" s="206"/>
      <c r="J281" s="206"/>
      <c r="M281" s="158"/>
    </row>
    <row r="282" spans="2:13" s="38" customFormat="1" x14ac:dyDescent="0.25">
      <c r="B282" s="98"/>
      <c r="F282" s="206"/>
      <c r="G282" s="206"/>
      <c r="H282" s="206"/>
      <c r="I282" s="206"/>
      <c r="J282" s="206"/>
      <c r="M282" s="158"/>
    </row>
    <row r="283" spans="2:13" s="38" customFormat="1" x14ac:dyDescent="0.25">
      <c r="B283" s="98"/>
      <c r="F283" s="206"/>
      <c r="G283" s="206"/>
      <c r="H283" s="206"/>
      <c r="I283" s="206"/>
      <c r="J283" s="206"/>
      <c r="M283" s="158"/>
    </row>
    <row r="284" spans="2:13" s="38" customFormat="1" x14ac:dyDescent="0.25">
      <c r="B284" s="98"/>
      <c r="F284" s="206"/>
      <c r="G284" s="206"/>
      <c r="H284" s="206"/>
      <c r="I284" s="206"/>
      <c r="J284" s="206"/>
      <c r="M284" s="158"/>
    </row>
    <row r="285" spans="2:13" s="38" customFormat="1" x14ac:dyDescent="0.25">
      <c r="B285" s="98"/>
      <c r="F285" s="206"/>
      <c r="G285" s="206"/>
      <c r="H285" s="206"/>
      <c r="I285" s="206"/>
      <c r="J285" s="206"/>
      <c r="M285" s="158"/>
    </row>
    <row r="286" spans="2:13" s="38" customFormat="1" x14ac:dyDescent="0.25">
      <c r="B286" s="98"/>
      <c r="F286" s="206"/>
      <c r="G286" s="206"/>
      <c r="H286" s="206"/>
      <c r="I286" s="206"/>
      <c r="J286" s="206"/>
      <c r="M286" s="158"/>
    </row>
    <row r="287" spans="2:13" s="38" customFormat="1" x14ac:dyDescent="0.25">
      <c r="B287" s="98"/>
      <c r="F287" s="206"/>
      <c r="G287" s="206"/>
      <c r="H287" s="206"/>
      <c r="I287" s="206"/>
      <c r="J287" s="206"/>
      <c r="M287" s="158"/>
    </row>
    <row r="288" spans="2:13" s="38" customFormat="1" x14ac:dyDescent="0.25">
      <c r="B288" s="98"/>
      <c r="F288" s="206"/>
      <c r="G288" s="206"/>
      <c r="H288" s="206"/>
      <c r="I288" s="206"/>
      <c r="J288" s="206"/>
      <c r="M288" s="158"/>
    </row>
    <row r="289" spans="2:13" s="38" customFormat="1" x14ac:dyDescent="0.25">
      <c r="B289" s="98"/>
      <c r="F289" s="206"/>
      <c r="G289" s="206"/>
      <c r="H289" s="206"/>
      <c r="I289" s="206"/>
      <c r="J289" s="206"/>
      <c r="M289" s="158"/>
    </row>
    <row r="290" spans="2:13" s="38" customFormat="1" x14ac:dyDescent="0.25">
      <c r="B290" s="98"/>
      <c r="F290" s="206"/>
      <c r="G290" s="206"/>
      <c r="H290" s="206"/>
      <c r="I290" s="206"/>
      <c r="J290" s="206"/>
      <c r="M290" s="158"/>
    </row>
    <row r="291" spans="2:13" s="38" customFormat="1" x14ac:dyDescent="0.25">
      <c r="B291" s="98"/>
      <c r="F291" s="206"/>
      <c r="G291" s="206"/>
      <c r="H291" s="206"/>
      <c r="I291" s="206"/>
      <c r="J291" s="206"/>
      <c r="M291" s="158"/>
    </row>
    <row r="292" spans="2:13" s="38" customFormat="1" x14ac:dyDescent="0.25">
      <c r="B292" s="98"/>
      <c r="F292" s="206"/>
      <c r="G292" s="206"/>
      <c r="H292" s="206"/>
      <c r="I292" s="206"/>
      <c r="J292" s="206"/>
      <c r="M292" s="158"/>
    </row>
    <row r="293" spans="2:13" s="38" customFormat="1" x14ac:dyDescent="0.25">
      <c r="B293" s="98"/>
      <c r="F293" s="206"/>
      <c r="G293" s="206"/>
      <c r="H293" s="206"/>
      <c r="I293" s="206"/>
      <c r="J293" s="206"/>
      <c r="M293" s="158"/>
    </row>
    <row r="294" spans="2:13" s="38" customFormat="1" x14ac:dyDescent="0.25">
      <c r="B294" s="98"/>
      <c r="F294" s="206"/>
      <c r="G294" s="206"/>
      <c r="H294" s="206"/>
      <c r="I294" s="206"/>
      <c r="J294" s="206"/>
      <c r="M294" s="158"/>
    </row>
    <row r="295" spans="2:13" s="38" customFormat="1" x14ac:dyDescent="0.25">
      <c r="B295" s="98"/>
      <c r="F295" s="206"/>
      <c r="G295" s="206"/>
      <c r="H295" s="206"/>
      <c r="I295" s="206"/>
      <c r="J295" s="206"/>
      <c r="M295" s="158"/>
    </row>
    <row r="296" spans="2:13" s="38" customFormat="1" x14ac:dyDescent="0.25">
      <c r="B296" s="98"/>
      <c r="F296" s="206"/>
      <c r="G296" s="206"/>
      <c r="H296" s="206"/>
      <c r="I296" s="206"/>
      <c r="J296" s="206"/>
      <c r="M296" s="158"/>
    </row>
    <row r="297" spans="2:13" s="38" customFormat="1" x14ac:dyDescent="0.25">
      <c r="B297" s="98"/>
      <c r="F297" s="206"/>
      <c r="G297" s="206"/>
      <c r="H297" s="206"/>
      <c r="I297" s="206"/>
      <c r="J297" s="206"/>
      <c r="M297" s="158"/>
    </row>
    <row r="298" spans="2:13" s="38" customFormat="1" x14ac:dyDescent="0.25">
      <c r="B298" s="98"/>
      <c r="F298" s="206"/>
      <c r="G298" s="206"/>
      <c r="H298" s="206"/>
      <c r="I298" s="206"/>
      <c r="J298" s="206"/>
      <c r="M298" s="158"/>
    </row>
    <row r="299" spans="2:13" s="38" customFormat="1" x14ac:dyDescent="0.25">
      <c r="B299" s="98"/>
      <c r="F299" s="206"/>
      <c r="G299" s="206"/>
      <c r="H299" s="206"/>
      <c r="I299" s="206"/>
      <c r="J299" s="206"/>
      <c r="M299" s="158"/>
    </row>
    <row r="300" spans="2:13" s="38" customFormat="1" x14ac:dyDescent="0.25">
      <c r="B300" s="98"/>
      <c r="F300" s="206"/>
      <c r="G300" s="206"/>
      <c r="H300" s="206"/>
      <c r="I300" s="206"/>
      <c r="J300" s="206"/>
      <c r="M300" s="158"/>
    </row>
    <row r="301" spans="2:13" s="38" customFormat="1" x14ac:dyDescent="0.25">
      <c r="B301" s="98"/>
      <c r="F301" s="206"/>
      <c r="G301" s="206"/>
      <c r="H301" s="206"/>
      <c r="I301" s="206"/>
      <c r="J301" s="206"/>
      <c r="M301" s="158"/>
    </row>
    <row r="302" spans="2:13" s="38" customFormat="1" x14ac:dyDescent="0.25">
      <c r="B302" s="98"/>
      <c r="F302" s="206"/>
      <c r="G302" s="206"/>
      <c r="H302" s="206"/>
      <c r="I302" s="206"/>
      <c r="J302" s="206"/>
      <c r="M302" s="158"/>
    </row>
    <row r="303" spans="2:13" s="38" customFormat="1" x14ac:dyDescent="0.25">
      <c r="B303" s="98"/>
      <c r="F303" s="206"/>
      <c r="G303" s="206"/>
      <c r="H303" s="206"/>
      <c r="I303" s="206"/>
      <c r="J303" s="206"/>
      <c r="M303" s="158"/>
    </row>
    <row r="304" spans="2:13" s="38" customFormat="1" x14ac:dyDescent="0.25">
      <c r="B304" s="98"/>
      <c r="F304" s="206"/>
      <c r="G304" s="206"/>
      <c r="H304" s="206"/>
      <c r="I304" s="206"/>
      <c r="J304" s="206"/>
      <c r="M304" s="158"/>
    </row>
    <row r="305" spans="2:13" s="38" customFormat="1" x14ac:dyDescent="0.25">
      <c r="B305" s="98"/>
      <c r="F305" s="206"/>
      <c r="G305" s="206"/>
      <c r="H305" s="206"/>
      <c r="I305" s="206"/>
      <c r="J305" s="206"/>
      <c r="M305" s="158"/>
    </row>
    <row r="306" spans="2:13" s="38" customFormat="1" x14ac:dyDescent="0.25">
      <c r="B306" s="98"/>
      <c r="F306" s="206"/>
      <c r="G306" s="206"/>
      <c r="H306" s="206"/>
      <c r="I306" s="206"/>
      <c r="J306" s="206"/>
      <c r="M306" s="158"/>
    </row>
    <row r="307" spans="2:13" s="38" customFormat="1" x14ac:dyDescent="0.25">
      <c r="B307" s="98"/>
      <c r="F307" s="206"/>
      <c r="G307" s="206"/>
      <c r="H307" s="206"/>
      <c r="I307" s="206"/>
      <c r="J307" s="206"/>
      <c r="M307" s="158"/>
    </row>
    <row r="308" spans="2:13" s="38" customFormat="1" x14ac:dyDescent="0.25">
      <c r="B308" s="98"/>
      <c r="F308" s="206"/>
      <c r="G308" s="206"/>
      <c r="H308" s="206"/>
      <c r="I308" s="206"/>
      <c r="J308" s="206"/>
      <c r="M308" s="158"/>
    </row>
    <row r="309" spans="2:13" s="38" customFormat="1" x14ac:dyDescent="0.25">
      <c r="B309" s="98"/>
      <c r="F309" s="206"/>
      <c r="G309" s="206"/>
      <c r="H309" s="206"/>
      <c r="I309" s="206"/>
      <c r="J309" s="206"/>
      <c r="M309" s="158"/>
    </row>
    <row r="310" spans="2:13" s="38" customFormat="1" x14ac:dyDescent="0.25">
      <c r="B310" s="98"/>
      <c r="F310" s="206"/>
      <c r="G310" s="206"/>
      <c r="H310" s="206"/>
      <c r="I310" s="206"/>
      <c r="J310" s="206"/>
      <c r="M310" s="158"/>
    </row>
    <row r="311" spans="2:13" s="38" customFormat="1" x14ac:dyDescent="0.25">
      <c r="B311" s="98"/>
      <c r="F311" s="206"/>
      <c r="G311" s="206"/>
      <c r="H311" s="206"/>
      <c r="I311" s="206"/>
      <c r="J311" s="206"/>
      <c r="M311" s="158"/>
    </row>
    <row r="312" spans="2:13" s="38" customFormat="1" x14ac:dyDescent="0.25">
      <c r="B312" s="98"/>
      <c r="F312" s="206"/>
      <c r="G312" s="206"/>
      <c r="H312" s="206"/>
      <c r="I312" s="206"/>
      <c r="J312" s="206"/>
      <c r="M312" s="158"/>
    </row>
    <row r="313" spans="2:13" s="38" customFormat="1" x14ac:dyDescent="0.25">
      <c r="B313" s="98"/>
      <c r="F313" s="206"/>
      <c r="G313" s="206"/>
      <c r="H313" s="206"/>
      <c r="I313" s="206"/>
      <c r="J313" s="206"/>
      <c r="M313" s="158"/>
    </row>
    <row r="314" spans="2:13" s="38" customFormat="1" x14ac:dyDescent="0.25">
      <c r="B314" s="98"/>
      <c r="F314" s="206"/>
      <c r="G314" s="206"/>
      <c r="H314" s="206"/>
      <c r="I314" s="206"/>
      <c r="J314" s="206"/>
      <c r="M314" s="158"/>
    </row>
    <row r="315" spans="2:13" s="38" customFormat="1" x14ac:dyDescent="0.25">
      <c r="B315" s="98"/>
      <c r="F315" s="206"/>
      <c r="G315" s="206"/>
      <c r="H315" s="206"/>
      <c r="I315" s="206"/>
      <c r="J315" s="206"/>
      <c r="M315" s="158"/>
    </row>
    <row r="316" spans="2:13" s="38" customFormat="1" x14ac:dyDescent="0.25">
      <c r="B316" s="98"/>
      <c r="F316" s="206"/>
      <c r="G316" s="206"/>
      <c r="H316" s="206"/>
      <c r="I316" s="206"/>
      <c r="J316" s="206"/>
      <c r="M316" s="158"/>
    </row>
    <row r="317" spans="2:13" s="38" customFormat="1" x14ac:dyDescent="0.25">
      <c r="B317" s="98"/>
      <c r="F317" s="206"/>
      <c r="G317" s="206"/>
      <c r="H317" s="206"/>
      <c r="I317" s="206"/>
      <c r="J317" s="206"/>
      <c r="M317" s="158"/>
    </row>
    <row r="318" spans="2:13" s="38" customFormat="1" x14ac:dyDescent="0.25">
      <c r="B318" s="98"/>
      <c r="F318" s="206"/>
      <c r="G318" s="206"/>
      <c r="H318" s="206"/>
      <c r="I318" s="206"/>
      <c r="J318" s="206"/>
      <c r="M318" s="158"/>
    </row>
    <row r="319" spans="2:13" s="38" customFormat="1" x14ac:dyDescent="0.25">
      <c r="B319" s="98"/>
      <c r="F319" s="206"/>
      <c r="G319" s="206"/>
      <c r="H319" s="206"/>
      <c r="I319" s="206"/>
      <c r="J319" s="206"/>
      <c r="M319" s="158"/>
    </row>
    <row r="320" spans="2:13" s="38" customFormat="1" x14ac:dyDescent="0.25">
      <c r="B320" s="98"/>
      <c r="F320" s="206"/>
      <c r="G320" s="206"/>
      <c r="H320" s="206"/>
      <c r="I320" s="206"/>
      <c r="J320" s="206"/>
      <c r="M320" s="158"/>
    </row>
    <row r="321" spans="2:26" s="38" customFormat="1" x14ac:dyDescent="0.25">
      <c r="B321" s="98"/>
      <c r="F321" s="206"/>
      <c r="G321" s="206"/>
      <c r="H321" s="206"/>
      <c r="I321" s="206"/>
      <c r="J321" s="206"/>
      <c r="M321" s="158"/>
    </row>
    <row r="322" spans="2:26" s="38" customFormat="1" x14ac:dyDescent="0.25">
      <c r="B322" s="98"/>
      <c r="F322" s="206"/>
      <c r="G322" s="206"/>
      <c r="H322" s="206"/>
      <c r="I322" s="206"/>
      <c r="J322" s="206"/>
      <c r="M322" s="56"/>
      <c r="N322" s="37"/>
      <c r="O322" s="37"/>
      <c r="P322" s="37"/>
      <c r="Q322" s="37"/>
    </row>
    <row r="323" spans="2:26" s="38" customFormat="1" x14ac:dyDescent="0.25">
      <c r="B323" s="98"/>
      <c r="F323" s="206"/>
      <c r="G323" s="206"/>
      <c r="H323" s="206"/>
      <c r="I323" s="206"/>
      <c r="J323" s="206"/>
      <c r="M323" s="56"/>
      <c r="N323" s="37"/>
      <c r="O323" s="37"/>
      <c r="P323" s="37"/>
      <c r="Q323" s="37"/>
    </row>
    <row r="324" spans="2:26" x14ac:dyDescent="0.25">
      <c r="R324" s="38"/>
      <c r="S324" s="38"/>
      <c r="T324" s="38"/>
      <c r="U324" s="38"/>
      <c r="V324" s="38"/>
      <c r="W324" s="38"/>
      <c r="X324" s="38"/>
      <c r="Y324" s="38"/>
      <c r="Z324" s="38"/>
    </row>
    <row r="325" spans="2:26" x14ac:dyDescent="0.25">
      <c r="R325" s="38"/>
      <c r="S325" s="38"/>
      <c r="T325" s="38"/>
      <c r="U325" s="38"/>
      <c r="V325" s="38"/>
      <c r="W325" s="38"/>
      <c r="X325" s="38"/>
      <c r="Y325" s="38"/>
      <c r="Z325" s="38"/>
    </row>
    <row r="326" spans="2:26" x14ac:dyDescent="0.25">
      <c r="R326" s="38"/>
      <c r="S326" s="38"/>
      <c r="T326" s="38"/>
      <c r="U326" s="38"/>
      <c r="V326" s="38"/>
      <c r="W326" s="38"/>
      <c r="X326" s="38"/>
      <c r="Y326" s="38"/>
      <c r="Z326" s="38"/>
    </row>
  </sheetData>
  <mergeCells count="41">
    <mergeCell ref="H11:I11"/>
    <mergeCell ref="C13:F13"/>
    <mergeCell ref="I13:J13"/>
    <mergeCell ref="C14:G14"/>
    <mergeCell ref="C15:F15"/>
    <mergeCell ref="C16:F16"/>
    <mergeCell ref="C17:F17"/>
    <mergeCell ref="C18:F18"/>
    <mergeCell ref="C19:F19"/>
    <mergeCell ref="C20:F20"/>
    <mergeCell ref="G20:I20"/>
    <mergeCell ref="C21:F21"/>
    <mergeCell ref="G21:I21"/>
    <mergeCell ref="F30:F31"/>
    <mergeCell ref="G30:J30"/>
    <mergeCell ref="C22:F22"/>
    <mergeCell ref="C23:J23"/>
    <mergeCell ref="C24:F24"/>
    <mergeCell ref="C25:F25"/>
    <mergeCell ref="B27:J27"/>
    <mergeCell ref="B28:J28"/>
    <mergeCell ref="K30:K31"/>
    <mergeCell ref="B33:J33"/>
    <mergeCell ref="B34:K34"/>
    <mergeCell ref="B107:C107"/>
    <mergeCell ref="B30:B31"/>
    <mergeCell ref="C30:C31"/>
    <mergeCell ref="D30:D31"/>
    <mergeCell ref="E30:E31"/>
    <mergeCell ref="Q104:Q106"/>
    <mergeCell ref="Q107:Q109"/>
    <mergeCell ref="Q110:Q112"/>
    <mergeCell ref="Q113:Q115"/>
    <mergeCell ref="D114:F114"/>
    <mergeCell ref="H114:J114"/>
    <mergeCell ref="D115:F115"/>
    <mergeCell ref="H115:J115"/>
    <mergeCell ref="O104:O106"/>
    <mergeCell ref="O107:O109"/>
    <mergeCell ref="O110:O112"/>
    <mergeCell ref="O113:O115"/>
  </mergeCells>
  <pageMargins left="0.39370078740157483" right="0.19685039370078741" top="0.39370078740157483" bottom="0.39370078740157483" header="0.19685039370078741" footer="0.19685039370078741"/>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Розр. до пояснення 2019</vt:lpstr>
      <vt:lpstr>Покодово 2019</vt:lpstr>
      <vt:lpstr>Фін.план 2019</vt:lpstr>
      <vt:lpstr>Фін.план 2019 (зміни1)</vt:lpstr>
      <vt:lpstr>Фін.план 2019 (зміни2)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2019-06-07T11:53:32Z</cp:lastPrinted>
  <dcterms:created xsi:type="dcterms:W3CDTF">2018-04-27T10:18:26Z</dcterms:created>
  <dcterms:modified xsi:type="dcterms:W3CDTF">2020-02-25T17:13:27Z</dcterms:modified>
</cp:coreProperties>
</file>