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реалізація" sheetId="1" r:id="rId1"/>
  </sheets>
  <definedNames>
    <definedName name="_xlnm.Print_Area" localSheetId="0">реалізація!$B$1:$J$66</definedName>
  </definedNames>
  <calcPr calcId="162913"/>
</workbook>
</file>

<file path=xl/calcChain.xml><?xml version="1.0" encoding="utf-8"?>
<calcChain xmlns="http://schemas.openxmlformats.org/spreadsheetml/2006/main">
  <c r="G35" i="1" l="1"/>
  <c r="H35" i="1"/>
  <c r="I47" i="1" l="1"/>
  <c r="I25" i="1"/>
  <c r="I53" i="1"/>
  <c r="I52" i="1"/>
  <c r="I49" i="1"/>
  <c r="I46" i="1"/>
  <c r="I44" i="1"/>
  <c r="I42" i="1"/>
  <c r="I43" i="1"/>
  <c r="I22" i="1"/>
  <c r="I21" i="1"/>
  <c r="H25" i="1"/>
  <c r="H53" i="1"/>
  <c r="H52" i="1"/>
  <c r="H49" i="1"/>
  <c r="H47" i="1"/>
  <c r="H46" i="1"/>
  <c r="H44" i="1"/>
  <c r="H43" i="1" s="1"/>
  <c r="H21" i="1"/>
  <c r="G47" i="1"/>
  <c r="G44" i="1"/>
  <c r="G42" i="1"/>
  <c r="G38" i="1"/>
  <c r="G53" i="1"/>
  <c r="G25" i="1"/>
  <c r="G52" i="1"/>
  <c r="G49" i="1"/>
  <c r="G22" i="1" l="1"/>
  <c r="G21" i="1"/>
  <c r="I8" i="1" l="1"/>
  <c r="H8" i="1"/>
  <c r="G8" i="1"/>
  <c r="J63" i="1"/>
  <c r="J62" i="1"/>
  <c r="J61" i="1"/>
  <c r="J60" i="1"/>
  <c r="J59" i="1"/>
  <c r="J58" i="1"/>
  <c r="J57" i="1"/>
  <c r="J56" i="1"/>
  <c r="J55" i="1"/>
  <c r="J51" i="1"/>
  <c r="J50" i="1"/>
  <c r="J45" i="1"/>
  <c r="J42" i="1"/>
  <c r="J41" i="1"/>
  <c r="J40" i="1"/>
  <c r="J39" i="1"/>
  <c r="J38" i="1"/>
  <c r="J37" i="1"/>
  <c r="J35" i="1"/>
  <c r="J34" i="1"/>
  <c r="J33" i="1"/>
  <c r="J32" i="1"/>
  <c r="J31" i="1"/>
  <c r="J30" i="1"/>
  <c r="J29" i="1"/>
  <c r="J28" i="1"/>
  <c r="J27" i="1"/>
  <c r="J24" i="1"/>
  <c r="J23" i="1"/>
  <c r="J19" i="1"/>
  <c r="J18" i="1"/>
  <c r="J17" i="1"/>
  <c r="J16" i="1"/>
  <c r="J13" i="1"/>
  <c r="J12" i="1"/>
  <c r="J11" i="1"/>
  <c r="J9" i="1"/>
  <c r="J7" i="1"/>
  <c r="J6" i="1"/>
  <c r="I54" i="1"/>
  <c r="H54" i="1"/>
  <c r="G54" i="1"/>
  <c r="F53" i="1"/>
  <c r="I48" i="1"/>
  <c r="H48" i="1"/>
  <c r="G48" i="1"/>
  <c r="G43" i="1"/>
  <c r="I36" i="1"/>
  <c r="H36" i="1"/>
  <c r="G36" i="1"/>
  <c r="I26" i="1"/>
  <c r="H26" i="1"/>
  <c r="G26" i="1"/>
  <c r="F25" i="1"/>
  <c r="I20" i="1"/>
  <c r="H20" i="1"/>
  <c r="G20" i="1"/>
  <c r="I14" i="1"/>
  <c r="H14" i="1"/>
  <c r="G14" i="1"/>
  <c r="I10" i="1"/>
  <c r="H10" i="1"/>
  <c r="G10" i="1"/>
  <c r="I5" i="1"/>
  <c r="H5" i="1"/>
  <c r="G5" i="1"/>
  <c r="F5" i="1"/>
  <c r="F52" i="1" l="1"/>
  <c r="F49" i="1"/>
  <c r="F47" i="1"/>
  <c r="F46" i="1"/>
  <c r="F44" i="1"/>
  <c r="F22" i="1"/>
  <c r="F21" i="1"/>
  <c r="E47" i="1"/>
  <c r="E44" i="1"/>
  <c r="E53" i="1"/>
  <c r="E52" i="1"/>
  <c r="E49" i="1"/>
  <c r="E46" i="1"/>
  <c r="J46" i="1" s="1"/>
  <c r="E25" i="1"/>
  <c r="E22" i="1"/>
  <c r="D25" i="1"/>
  <c r="J25" i="1" s="1"/>
  <c r="E21" i="1"/>
  <c r="D53" i="1"/>
  <c r="J53" i="1" s="1"/>
  <c r="F36" i="1"/>
  <c r="E36" i="1"/>
  <c r="D36" i="1"/>
  <c r="J36" i="1" s="1"/>
  <c r="E20" i="1"/>
  <c r="D52" i="1"/>
  <c r="J52" i="1" s="1"/>
  <c r="D49" i="1"/>
  <c r="J49" i="1" s="1"/>
  <c r="D47" i="1"/>
  <c r="J47" i="1" s="1"/>
  <c r="D44" i="1"/>
  <c r="J44" i="1" s="1"/>
  <c r="D22" i="1"/>
  <c r="D21" i="1"/>
  <c r="J21" i="1" s="1"/>
  <c r="F15" i="1"/>
  <c r="E15" i="1"/>
  <c r="D15" i="1"/>
  <c r="D14" i="1" l="1"/>
  <c r="J15" i="1"/>
  <c r="D20" i="1"/>
  <c r="J22" i="1"/>
  <c r="F20" i="1"/>
  <c r="E43" i="1"/>
  <c r="D43" i="1"/>
  <c r="F48" i="1"/>
  <c r="D10" i="1"/>
  <c r="E10" i="1"/>
  <c r="F10" i="1"/>
  <c r="F54" i="1"/>
  <c r="D54" i="1"/>
  <c r="J54" i="1" s="1"/>
  <c r="D48" i="1"/>
  <c r="F26" i="1"/>
  <c r="J26" i="1" s="1"/>
  <c r="D26" i="1"/>
  <c r="E14" i="1"/>
  <c r="F14" i="1"/>
  <c r="D8" i="1"/>
  <c r="J8" i="1" s="1"/>
  <c r="E5" i="1"/>
  <c r="D5" i="1"/>
  <c r="J5" i="1" s="1"/>
  <c r="J14" i="1" l="1"/>
  <c r="J10" i="1"/>
  <c r="J43" i="1"/>
  <c r="J20" i="1"/>
  <c r="E48" i="1"/>
  <c r="J48" i="1" s="1"/>
  <c r="F43" i="1"/>
</calcChain>
</file>

<file path=xl/comments1.xml><?xml version="1.0" encoding="utf-8"?>
<comments xmlns="http://schemas.openxmlformats.org/spreadsheetml/2006/main">
  <authors>
    <author>Oleksandra</author>
  </authors>
  <commentList>
    <comment ref="C30" authorId="0" shapeId="0">
      <text>
        <r>
          <rPr>
            <b/>
            <sz val="9"/>
            <color indexed="81"/>
            <rFont val="Tahoma"/>
            <family val="2"/>
            <charset val="204"/>
          </rPr>
          <t>Послуги банку, профспілкові внески із зарплати, інші послуги, канцтовари</t>
        </r>
      </text>
    </comment>
  </commentList>
</comments>
</file>

<file path=xl/sharedStrings.xml><?xml version="1.0" encoding="utf-8"?>
<sst xmlns="http://schemas.openxmlformats.org/spreadsheetml/2006/main" count="116" uniqueCount="113">
  <si>
    <t>Електроенергія</t>
  </si>
  <si>
    <t>Охорона</t>
  </si>
  <si>
    <t>Інші витрати</t>
  </si>
  <si>
    <t>Період</t>
  </si>
  <si>
    <t>Січень</t>
  </si>
  <si>
    <t>Лютий</t>
  </si>
  <si>
    <t>Березень</t>
  </si>
  <si>
    <t>Обсяг наданих послуг з ПДВ, грн, в тому числі:</t>
  </si>
  <si>
    <t>Обсяг оплачених послуг з основної діяльності з ПДВ, грн, а саме:</t>
  </si>
  <si>
    <t>Обсяг оплачених послуг по іншій діяльності з ПДВ, грн, а саме:</t>
  </si>
  <si>
    <t>Витрати, грн:</t>
  </si>
  <si>
    <t>Заробітна плата</t>
  </si>
  <si>
    <t>ЄСВ</t>
  </si>
  <si>
    <t>ПДФО</t>
  </si>
  <si>
    <t>Військовий збір</t>
  </si>
  <si>
    <t>1.1</t>
  </si>
  <si>
    <t>1.2</t>
  </si>
  <si>
    <t>2.1</t>
  </si>
  <si>
    <t>3.1</t>
  </si>
  <si>
    <t>4.1</t>
  </si>
  <si>
    <t>4.1.1</t>
  </si>
  <si>
    <t>4.1.2</t>
  </si>
  <si>
    <t>4.1.3</t>
  </si>
  <si>
    <t>4.1.4</t>
  </si>
  <si>
    <t>4.2</t>
  </si>
  <si>
    <t>Природній газ</t>
  </si>
  <si>
    <t>Дрова</t>
  </si>
  <si>
    <t>4.2.1</t>
  </si>
  <si>
    <t>4.2.3</t>
  </si>
  <si>
    <t>4.2.2</t>
  </si>
  <si>
    <t>4.3</t>
  </si>
  <si>
    <t>4.3.1</t>
  </si>
  <si>
    <t>4.3.2</t>
  </si>
  <si>
    <t>4.3.3</t>
  </si>
  <si>
    <t>ПДВ</t>
  </si>
  <si>
    <t>Податок на прибуток</t>
  </si>
  <si>
    <t>Податок на нерухоме майно</t>
  </si>
  <si>
    <t>Екологічний податок</t>
  </si>
  <si>
    <t>Рентна плата за спеціальне використання води</t>
  </si>
  <si>
    <t>4.3.4</t>
  </si>
  <si>
    <t>4.3.5</t>
  </si>
  <si>
    <t>4.3.6</t>
  </si>
  <si>
    <t>4.3.7</t>
  </si>
  <si>
    <t>Інші</t>
  </si>
  <si>
    <t>Земельний податок</t>
  </si>
  <si>
    <t>Нараховано оплата праці:</t>
  </si>
  <si>
    <t>Оплачено заробітної плати</t>
  </si>
  <si>
    <t>Нараховано енергоносії</t>
  </si>
  <si>
    <t>Оплачено енергоносії</t>
  </si>
  <si>
    <t>Нараховано податки та збори</t>
  </si>
  <si>
    <t>Оплачено податки і збори</t>
  </si>
  <si>
    <t>4.4</t>
  </si>
  <si>
    <t>4.4.1</t>
  </si>
  <si>
    <t>4.4.2</t>
  </si>
  <si>
    <t>4.4.3</t>
  </si>
  <si>
    <t>4.4.4</t>
  </si>
  <si>
    <t>Придбано запчастини</t>
  </si>
  <si>
    <t>Поточний ремонт</t>
  </si>
  <si>
    <t>Капітальний ремонт</t>
  </si>
  <si>
    <t>Технічне обслуговування</t>
  </si>
  <si>
    <t>Нараховано ремонт і придбання техніки</t>
  </si>
  <si>
    <t>Оплачено ремонт і придбання техніки</t>
  </si>
  <si>
    <t>4.5</t>
  </si>
  <si>
    <t>Придбання предметів, матеріалів, основних засобів (нараховано)</t>
  </si>
  <si>
    <t>Оплачено придбання предметів, матеріалів, основних засобів</t>
  </si>
  <si>
    <t>4.5.1</t>
  </si>
  <si>
    <t>Нараховано інші послуги</t>
  </si>
  <si>
    <t>4.6.1</t>
  </si>
  <si>
    <t>Телекомунікаційні</t>
  </si>
  <si>
    <t>Послуги банку</t>
  </si>
  <si>
    <t>Оплачено інші послуги</t>
  </si>
  <si>
    <t>Інше</t>
  </si>
  <si>
    <t>4.6.2</t>
  </si>
  <si>
    <t>4.6.3</t>
  </si>
  <si>
    <t>4.6.4</t>
  </si>
  <si>
    <t>4.3.8</t>
  </si>
  <si>
    <t>Судовий збір</t>
  </si>
  <si>
    <t>4.7.1</t>
  </si>
  <si>
    <t>Відшкодовано ПДВ</t>
  </si>
  <si>
    <t>Тіло кредиту</t>
  </si>
  <si>
    <t>Відсотки за користування кредиток</t>
  </si>
  <si>
    <t>Маржа</t>
  </si>
  <si>
    <t>4.7.2</t>
  </si>
  <si>
    <t>4.7.3</t>
  </si>
  <si>
    <t>4.7</t>
  </si>
  <si>
    <t>4.7.4</t>
  </si>
  <si>
    <t>Оплачено кредитів банків, інших організацій</t>
  </si>
  <si>
    <t>4.8</t>
  </si>
  <si>
    <t>Нараховано інші витрати, які не вказано  в п.4 (розписати</t>
  </si>
  <si>
    <t>Оплачено інших витрат</t>
  </si>
  <si>
    <t>Нараховано кредити банків, інших організацій, лізинг</t>
  </si>
  <si>
    <t>4.8.1</t>
  </si>
  <si>
    <t>Орендна плата теплової мережі</t>
  </si>
  <si>
    <t>Теплоенергія</t>
  </si>
  <si>
    <t>4.5.2</t>
  </si>
  <si>
    <t>4.5.3</t>
  </si>
  <si>
    <t>Будівельні та господарські матеріали</t>
  </si>
  <si>
    <t>Канцтовари</t>
  </si>
  <si>
    <t>Паливно-мастильні матеріали</t>
  </si>
  <si>
    <t>Профспікові внески</t>
  </si>
  <si>
    <t>4.8.2</t>
  </si>
  <si>
    <t>Відрядження</t>
  </si>
  <si>
    <t>3.2</t>
  </si>
  <si>
    <t>4.4.5</t>
  </si>
  <si>
    <t>Придбання техніки</t>
  </si>
  <si>
    <t>4.2.4</t>
  </si>
  <si>
    <t>Брикети</t>
  </si>
  <si>
    <t>Показники діяльності КП "Коломиятеплосервіс" за 1 півріччя 2021 р.</t>
  </si>
  <si>
    <t>Квітень</t>
  </si>
  <si>
    <t>Травень</t>
  </si>
  <si>
    <t>Червень</t>
  </si>
  <si>
    <t>Разом за 1 півріччя</t>
  </si>
  <si>
    <t xml:space="preserve">                            Головний бухгалтер                                                                                                                              Ольга ЯРЕМЧУК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</si>
</sst>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X66"/>
  <sheetViews>
    <sheetView tabSelected="1" view="pageBreakPreview" topLeftCell="A31" zoomScaleNormal="100" zoomScaleSheetLayoutView="100" workbookViewId="0">
      <selection activeCell="C55" sqref="C55"/>
    </sheetView>
  </sheetViews>
  <sheetFormatPr defaultRowHeight="12.75" x14ac:dyDescent="0.2"/>
  <cols>
    <col min="1" max="1" width="4.5703125" style="17" customWidth="1"/>
    <col min="2" max="2" width="7.140625" style="5" customWidth="1"/>
    <col min="3" max="3" width="45" style="32" customWidth="1"/>
    <col min="4" max="4" width="13.140625" style="17" customWidth="1"/>
    <col min="5" max="6" width="13.140625" style="17" bestFit="1" customWidth="1"/>
    <col min="7" max="9" width="13.140625" style="17" customWidth="1"/>
    <col min="10" max="10" width="17" style="17" customWidth="1"/>
    <col min="11" max="11" width="13.140625" style="17" bestFit="1" customWidth="1"/>
    <col min="12" max="12" width="11.28515625" style="17" bestFit="1" customWidth="1"/>
    <col min="13" max="13" width="11.7109375" style="17" bestFit="1" customWidth="1"/>
    <col min="14" max="15" width="10.140625" style="17" bestFit="1" customWidth="1"/>
    <col min="16" max="16" width="11.28515625" style="17" bestFit="1" customWidth="1"/>
    <col min="17" max="17" width="13.140625" style="17" bestFit="1" customWidth="1"/>
    <col min="18" max="20" width="11.28515625" style="17" bestFit="1" customWidth="1"/>
    <col min="21" max="21" width="10.140625" style="17" bestFit="1" customWidth="1"/>
    <col min="22" max="16384" width="9.140625" style="17"/>
  </cols>
  <sheetData>
    <row r="2" spans="2:20" ht="18.75" x14ac:dyDescent="0.2">
      <c r="B2" s="37" t="s">
        <v>107</v>
      </c>
      <c r="C2" s="37"/>
      <c r="D2" s="37"/>
      <c r="E2" s="37"/>
      <c r="F2" s="37"/>
      <c r="G2" s="37"/>
      <c r="H2" s="37"/>
      <c r="I2" s="37"/>
      <c r="J2" s="37"/>
    </row>
    <row r="3" spans="2:20" ht="33.75" customHeight="1" x14ac:dyDescent="0.2"/>
    <row r="4" spans="2:20" ht="48" customHeight="1" x14ac:dyDescent="0.2">
      <c r="B4" s="6"/>
      <c r="C4" s="35" t="s">
        <v>3</v>
      </c>
      <c r="D4" s="2" t="s">
        <v>4</v>
      </c>
      <c r="E4" s="2" t="s">
        <v>5</v>
      </c>
      <c r="F4" s="2" t="s">
        <v>6</v>
      </c>
      <c r="G4" s="2" t="s">
        <v>108</v>
      </c>
      <c r="H4" s="2" t="s">
        <v>109</v>
      </c>
      <c r="I4" s="2" t="s">
        <v>110</v>
      </c>
      <c r="J4" s="2" t="s">
        <v>111</v>
      </c>
    </row>
    <row r="5" spans="2:20" ht="31.5" x14ac:dyDescent="0.2">
      <c r="B5" s="6">
        <v>1</v>
      </c>
      <c r="C5" s="3" t="s">
        <v>7</v>
      </c>
      <c r="D5" s="7">
        <f>SUM(D6:D7)</f>
        <v>1582007.54</v>
      </c>
      <c r="E5" s="7">
        <f t="shared" ref="E5" si="0">SUM(E6:E7)</f>
        <v>1717987.1099999999</v>
      </c>
      <c r="F5" s="7">
        <f>SUM(F6:F7)</f>
        <v>848875.05</v>
      </c>
      <c r="G5" s="7">
        <f t="shared" ref="G5:I5" si="1">SUM(G6:G7)</f>
        <v>295651.29000000004</v>
      </c>
      <c r="H5" s="7">
        <f t="shared" si="1"/>
        <v>49369.599999999999</v>
      </c>
      <c r="I5" s="7">
        <f t="shared" si="1"/>
        <v>31266.87</v>
      </c>
      <c r="J5" s="7">
        <f>SUM(D5:I5)</f>
        <v>4525157.46</v>
      </c>
    </row>
    <row r="6" spans="2:20" s="18" customFormat="1" ht="15.75" x14ac:dyDescent="0.2">
      <c r="B6" s="15" t="s">
        <v>15</v>
      </c>
      <c r="C6" s="4" t="s">
        <v>93</v>
      </c>
      <c r="D6" s="16">
        <v>1566914.25</v>
      </c>
      <c r="E6" s="16">
        <v>1702742.88</v>
      </c>
      <c r="F6" s="16">
        <v>833371.67</v>
      </c>
      <c r="G6" s="16">
        <v>280039.39</v>
      </c>
      <c r="H6" s="16">
        <v>33554.74</v>
      </c>
      <c r="I6" s="16">
        <v>15420.38</v>
      </c>
      <c r="J6" s="16">
        <f t="shared" ref="J6:J63" si="2">SUM(D6:I6)</f>
        <v>4432043.3099999996</v>
      </c>
    </row>
    <row r="7" spans="2:20" s="18" customFormat="1" ht="23.25" customHeight="1" x14ac:dyDescent="0.2">
      <c r="B7" s="15" t="s">
        <v>16</v>
      </c>
      <c r="C7" s="4" t="s">
        <v>92</v>
      </c>
      <c r="D7" s="16">
        <v>15093.29</v>
      </c>
      <c r="E7" s="16">
        <v>15244.23</v>
      </c>
      <c r="F7" s="16">
        <v>15503.38</v>
      </c>
      <c r="G7" s="16">
        <v>15611.9</v>
      </c>
      <c r="H7" s="16">
        <v>15814.86</v>
      </c>
      <c r="I7" s="16">
        <v>15846.49</v>
      </c>
      <c r="J7" s="16">
        <f t="shared" si="2"/>
        <v>93114.150000000009</v>
      </c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2:20" ht="33" customHeight="1" x14ac:dyDescent="0.2">
      <c r="B8" s="6">
        <v>2</v>
      </c>
      <c r="C8" s="3" t="s">
        <v>8</v>
      </c>
      <c r="D8" s="7">
        <f>SUM(D9)</f>
        <v>0</v>
      </c>
      <c r="E8" s="7">
        <v>487879.56</v>
      </c>
      <c r="F8" s="7">
        <v>2149552.37</v>
      </c>
      <c r="G8" s="7">
        <f>G9</f>
        <v>282427.73</v>
      </c>
      <c r="H8" s="7">
        <f t="shared" ref="H8:I8" si="3">H9</f>
        <v>602391.30000000005</v>
      </c>
      <c r="I8" s="7">
        <f t="shared" si="3"/>
        <v>200000</v>
      </c>
      <c r="J8" s="7">
        <f t="shared" si="2"/>
        <v>3722250.96</v>
      </c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2:20" s="18" customFormat="1" ht="15.75" x14ac:dyDescent="0.2">
      <c r="B9" s="15" t="s">
        <v>17</v>
      </c>
      <c r="C9" s="4" t="s">
        <v>93</v>
      </c>
      <c r="D9" s="16">
        <v>0</v>
      </c>
      <c r="E9" s="16">
        <v>487879.56</v>
      </c>
      <c r="F9" s="16">
        <v>2149552.37</v>
      </c>
      <c r="G9" s="16">
        <v>282427.73</v>
      </c>
      <c r="H9" s="16">
        <v>602391.30000000005</v>
      </c>
      <c r="I9" s="16">
        <v>200000</v>
      </c>
      <c r="J9" s="16">
        <f t="shared" si="2"/>
        <v>3722250.96</v>
      </c>
      <c r="L9" s="19"/>
      <c r="M9" s="19"/>
      <c r="N9" s="19"/>
      <c r="O9" s="19"/>
      <c r="P9" s="19"/>
      <c r="Q9" s="19"/>
      <c r="R9" s="19"/>
      <c r="S9" s="19"/>
      <c r="T9" s="19"/>
    </row>
    <row r="10" spans="2:20" ht="31.5" x14ac:dyDescent="0.2">
      <c r="B10" s="6">
        <v>3</v>
      </c>
      <c r="C10" s="3" t="s">
        <v>9</v>
      </c>
      <c r="D10" s="20">
        <f t="shared" ref="D10:I10" si="4">SUM(D11:D12)</f>
        <v>14899.59</v>
      </c>
      <c r="E10" s="7">
        <f t="shared" si="4"/>
        <v>15093.29</v>
      </c>
      <c r="F10" s="20">
        <f t="shared" si="4"/>
        <v>0</v>
      </c>
      <c r="G10" s="20">
        <f t="shared" si="4"/>
        <v>0</v>
      </c>
      <c r="H10" s="20">
        <f t="shared" si="4"/>
        <v>30747.61</v>
      </c>
      <c r="I10" s="20">
        <f t="shared" si="4"/>
        <v>31426.76</v>
      </c>
      <c r="J10" s="20">
        <f t="shared" si="2"/>
        <v>92167.25</v>
      </c>
    </row>
    <row r="11" spans="2:20" s="18" customFormat="1" ht="15.75" x14ac:dyDescent="0.2">
      <c r="B11" s="15" t="s">
        <v>18</v>
      </c>
      <c r="C11" s="4" t="s">
        <v>92</v>
      </c>
      <c r="D11" s="16">
        <v>14899.59</v>
      </c>
      <c r="E11" s="16">
        <v>15093.29</v>
      </c>
      <c r="F11" s="16">
        <v>0</v>
      </c>
      <c r="G11" s="16">
        <v>0</v>
      </c>
      <c r="H11" s="16">
        <v>30747.61</v>
      </c>
      <c r="I11" s="16">
        <v>31426.76</v>
      </c>
      <c r="J11" s="16">
        <f t="shared" si="2"/>
        <v>92167.25</v>
      </c>
      <c r="K11" s="19"/>
    </row>
    <row r="12" spans="2:20" s="18" customFormat="1" ht="15.75" x14ac:dyDescent="0.2">
      <c r="B12" s="15" t="s">
        <v>102</v>
      </c>
      <c r="C12" s="4" t="s">
        <v>78</v>
      </c>
      <c r="D12" s="21">
        <v>0</v>
      </c>
      <c r="E12" s="22">
        <v>0</v>
      </c>
      <c r="F12" s="21">
        <v>0</v>
      </c>
      <c r="G12" s="21">
        <v>0</v>
      </c>
      <c r="H12" s="21">
        <v>0</v>
      </c>
      <c r="I12" s="21">
        <v>0</v>
      </c>
      <c r="J12" s="21">
        <f t="shared" si="2"/>
        <v>0</v>
      </c>
    </row>
    <row r="13" spans="2:20" ht="17.25" customHeight="1" x14ac:dyDescent="0.2">
      <c r="B13" s="6">
        <v>4</v>
      </c>
      <c r="C13" s="1" t="s">
        <v>10</v>
      </c>
      <c r="D13" s="21">
        <v>922813.82</v>
      </c>
      <c r="E13" s="22">
        <v>994743.67</v>
      </c>
      <c r="F13" s="21">
        <v>717860.4</v>
      </c>
      <c r="G13" s="21">
        <v>499703.76</v>
      </c>
      <c r="H13" s="21">
        <v>286313.26</v>
      </c>
      <c r="I13" s="21">
        <v>208192.07</v>
      </c>
      <c r="J13" s="21">
        <f t="shared" si="2"/>
        <v>3629626.98</v>
      </c>
    </row>
    <row r="14" spans="2:20" ht="17.25" customHeight="1" x14ac:dyDescent="0.2">
      <c r="B14" s="6" t="s">
        <v>19</v>
      </c>
      <c r="C14" s="1" t="s">
        <v>45</v>
      </c>
      <c r="D14" s="20">
        <f>SUM(D15:D18)</f>
        <v>266210.88</v>
      </c>
      <c r="E14" s="7">
        <f t="shared" ref="E14:I14" si="5">SUM(E15:E18)</f>
        <v>258946.37</v>
      </c>
      <c r="F14" s="20">
        <f t="shared" si="5"/>
        <v>279431.73</v>
      </c>
      <c r="G14" s="20">
        <f t="shared" si="5"/>
        <v>279998.3</v>
      </c>
      <c r="H14" s="20">
        <f t="shared" si="5"/>
        <v>213671.72</v>
      </c>
      <c r="I14" s="20">
        <f t="shared" si="5"/>
        <v>145316.07</v>
      </c>
      <c r="J14" s="20">
        <f t="shared" si="2"/>
        <v>1443575.07</v>
      </c>
    </row>
    <row r="15" spans="2:20" s="18" customFormat="1" ht="15.75" x14ac:dyDescent="0.2">
      <c r="B15" s="15" t="s">
        <v>20</v>
      </c>
      <c r="C15" s="4" t="s">
        <v>11</v>
      </c>
      <c r="D15" s="23">
        <f>188476.85</f>
        <v>188476.85</v>
      </c>
      <c r="E15" s="23">
        <f>182953.65</f>
        <v>182953.65</v>
      </c>
      <c r="F15" s="23">
        <f>195944.32</f>
        <v>195944.32000000001</v>
      </c>
      <c r="G15" s="23">
        <v>196844.96</v>
      </c>
      <c r="H15" s="23">
        <v>148136.06</v>
      </c>
      <c r="I15" s="23">
        <v>103610.17</v>
      </c>
      <c r="J15" s="23">
        <f t="shared" si="2"/>
        <v>1015966.0100000001</v>
      </c>
      <c r="K15" s="19"/>
      <c r="L15" s="19"/>
      <c r="M15" s="19"/>
    </row>
    <row r="16" spans="2:20" s="18" customFormat="1" ht="17.25" customHeight="1" x14ac:dyDescent="0.2">
      <c r="B16" s="15" t="s">
        <v>21</v>
      </c>
      <c r="C16" s="4" t="s">
        <v>13</v>
      </c>
      <c r="D16" s="23">
        <v>33312.93</v>
      </c>
      <c r="E16" s="16">
        <v>32318.799999999999</v>
      </c>
      <c r="F16" s="23">
        <v>33954.17</v>
      </c>
      <c r="G16" s="23">
        <v>35527.519999999997</v>
      </c>
      <c r="H16" s="23">
        <v>29469.14</v>
      </c>
      <c r="I16" s="23">
        <v>17441.060000000001</v>
      </c>
      <c r="J16" s="23">
        <f t="shared" si="2"/>
        <v>182023.62</v>
      </c>
    </row>
    <row r="17" spans="2:24" s="18" customFormat="1" ht="17.25" customHeight="1" x14ac:dyDescent="0.2">
      <c r="B17" s="15" t="s">
        <v>22</v>
      </c>
      <c r="C17" s="4" t="s">
        <v>14</v>
      </c>
      <c r="D17" s="23">
        <v>2827.14</v>
      </c>
      <c r="E17" s="16">
        <v>2744.29</v>
      </c>
      <c r="F17" s="23">
        <v>2939.16</v>
      </c>
      <c r="G17" s="23">
        <v>3062.8</v>
      </c>
      <c r="H17" s="23">
        <v>2472.8000000000002</v>
      </c>
      <c r="I17" s="23">
        <v>1554.17</v>
      </c>
      <c r="J17" s="23">
        <f t="shared" si="2"/>
        <v>15600.359999999999</v>
      </c>
    </row>
    <row r="18" spans="2:24" s="18" customFormat="1" ht="17.25" customHeight="1" x14ac:dyDescent="0.2">
      <c r="B18" s="15" t="s">
        <v>23</v>
      </c>
      <c r="C18" s="4" t="s">
        <v>12</v>
      </c>
      <c r="D18" s="23">
        <v>41593.96</v>
      </c>
      <c r="E18" s="16">
        <v>40929.629999999997</v>
      </c>
      <c r="F18" s="23">
        <v>46594.080000000002</v>
      </c>
      <c r="G18" s="23">
        <v>44563.02</v>
      </c>
      <c r="H18" s="23">
        <v>33593.72</v>
      </c>
      <c r="I18" s="23">
        <v>22710.67</v>
      </c>
      <c r="J18" s="23">
        <f t="shared" si="2"/>
        <v>229985.08000000002</v>
      </c>
    </row>
    <row r="19" spans="2:24" ht="17.25" customHeight="1" x14ac:dyDescent="0.2">
      <c r="B19" s="6"/>
      <c r="C19" s="3" t="s">
        <v>46</v>
      </c>
      <c r="D19" s="20">
        <v>203626.44</v>
      </c>
      <c r="E19" s="7">
        <v>122148.35</v>
      </c>
      <c r="F19" s="20">
        <v>264163.84999999998</v>
      </c>
      <c r="G19" s="20">
        <v>221612.73</v>
      </c>
      <c r="H19" s="20">
        <v>134046.26</v>
      </c>
      <c r="I19" s="20">
        <v>144092.22</v>
      </c>
      <c r="J19" s="20">
        <f t="shared" si="2"/>
        <v>1089689.8500000001</v>
      </c>
    </row>
    <row r="20" spans="2:24" s="26" customFormat="1" ht="17.25" customHeight="1" x14ac:dyDescent="0.2">
      <c r="B20" s="8" t="s">
        <v>24</v>
      </c>
      <c r="C20" s="12" t="s">
        <v>47</v>
      </c>
      <c r="D20" s="24">
        <f>SUM(D21:D24)</f>
        <v>706224.62999999989</v>
      </c>
      <c r="E20" s="24">
        <f t="shared" ref="E20" si="6">SUM(E21:E24)</f>
        <v>861542.54</v>
      </c>
      <c r="F20" s="24">
        <f>SUM(F21:F24)</f>
        <v>540864.02999999991</v>
      </c>
      <c r="G20" s="24">
        <f t="shared" ref="G20:I20" si="7">SUM(G21:G24)</f>
        <v>223484.67</v>
      </c>
      <c r="H20" s="24">
        <f t="shared" si="7"/>
        <v>60406.929999999993</v>
      </c>
      <c r="I20" s="24">
        <f t="shared" si="7"/>
        <v>53568.17</v>
      </c>
      <c r="J20" s="24">
        <f t="shared" si="2"/>
        <v>2446090.9699999997</v>
      </c>
    </row>
    <row r="21" spans="2:24" s="18" customFormat="1" ht="17.25" customHeight="1" x14ac:dyDescent="0.2">
      <c r="B21" s="15" t="s">
        <v>27</v>
      </c>
      <c r="C21" s="4" t="s">
        <v>0</v>
      </c>
      <c r="D21" s="23">
        <f>46029.62+1442.09</f>
        <v>47471.71</v>
      </c>
      <c r="E21" s="16">
        <f>1660.28+59318.25</f>
        <v>60978.53</v>
      </c>
      <c r="F21" s="23">
        <f>794.02+37720.03</f>
        <v>38514.049999999996</v>
      </c>
      <c r="G21" s="23">
        <f>563.9+25553.42</f>
        <v>26117.32</v>
      </c>
      <c r="H21" s="23">
        <f>282.91+9511.68</f>
        <v>9794.59</v>
      </c>
      <c r="I21" s="23">
        <f>2955.79</f>
        <v>2955.79</v>
      </c>
      <c r="J21" s="23">
        <f t="shared" si="2"/>
        <v>185831.99</v>
      </c>
    </row>
    <row r="22" spans="2:24" s="18" customFormat="1" ht="17.25" customHeight="1" x14ac:dyDescent="0.2">
      <c r="B22" s="15" t="s">
        <v>29</v>
      </c>
      <c r="C22" s="4" t="s">
        <v>25</v>
      </c>
      <c r="D22" s="23">
        <f>54005.36+429922.98</f>
        <v>483928.33999999997</v>
      </c>
      <c r="E22" s="16">
        <f>50612.34+605819.27</f>
        <v>656431.61</v>
      </c>
      <c r="F22" s="23">
        <f>50612.35+410651.62</f>
        <v>461263.97</v>
      </c>
      <c r="G22" s="23">
        <f>53722.75+78641.1</f>
        <v>132363.85</v>
      </c>
      <c r="H22" s="23">
        <v>50612.34</v>
      </c>
      <c r="I22" s="23">
        <f>50612.38</f>
        <v>50612.38</v>
      </c>
      <c r="J22" s="23">
        <f t="shared" si="2"/>
        <v>1835212.49</v>
      </c>
    </row>
    <row r="23" spans="2:24" s="18" customFormat="1" ht="17.25" customHeight="1" x14ac:dyDescent="0.2">
      <c r="B23" s="15" t="s">
        <v>28</v>
      </c>
      <c r="C23" s="4" t="s">
        <v>26</v>
      </c>
      <c r="D23" s="23">
        <v>115289.58</v>
      </c>
      <c r="E23" s="16">
        <v>78708.399999999994</v>
      </c>
      <c r="F23" s="23">
        <v>41086.01</v>
      </c>
      <c r="G23" s="23">
        <v>0</v>
      </c>
      <c r="H23" s="23">
        <v>0</v>
      </c>
      <c r="I23" s="23">
        <v>0</v>
      </c>
      <c r="J23" s="23">
        <f t="shared" si="2"/>
        <v>235083.99</v>
      </c>
    </row>
    <row r="24" spans="2:24" s="18" customFormat="1" ht="17.25" customHeight="1" x14ac:dyDescent="0.2">
      <c r="B24" s="15" t="s">
        <v>105</v>
      </c>
      <c r="C24" s="4" t="s">
        <v>106</v>
      </c>
      <c r="D24" s="23">
        <v>59535</v>
      </c>
      <c r="E24" s="16">
        <v>65424</v>
      </c>
      <c r="F24" s="23">
        <v>0</v>
      </c>
      <c r="G24" s="23">
        <v>65003.5</v>
      </c>
      <c r="H24" s="23">
        <v>0</v>
      </c>
      <c r="I24" s="23">
        <v>0</v>
      </c>
      <c r="J24" s="23">
        <f t="shared" si="2"/>
        <v>189962.5</v>
      </c>
    </row>
    <row r="25" spans="2:24" s="26" customFormat="1" ht="17.25" customHeight="1" x14ac:dyDescent="0.2">
      <c r="B25" s="8"/>
      <c r="C25" s="12" t="s">
        <v>48</v>
      </c>
      <c r="D25" s="24">
        <f>50000+922.09</f>
        <v>50922.09</v>
      </c>
      <c r="E25" s="25">
        <f>1442.09+46332.9+54005.36+221061.91+40135</f>
        <v>362977.26</v>
      </c>
      <c r="F25" s="24">
        <f>94751.28+2454.3+1039588.78+89224+80000</f>
        <v>1306018.3600000001</v>
      </c>
      <c r="G25" s="24">
        <f>3110.4+1203.5+10000</f>
        <v>14313.9</v>
      </c>
      <c r="H25" s="24">
        <f>563.9+25553.42+100000</f>
        <v>126117.32</v>
      </c>
      <c r="I25" s="24">
        <f>211481.32+9511.68+282.91</f>
        <v>221275.91</v>
      </c>
      <c r="J25" s="24">
        <f t="shared" si="2"/>
        <v>2081624.8399999999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2:24" s="26" customFormat="1" ht="21" customHeight="1" x14ac:dyDescent="0.2">
      <c r="B26" s="8" t="s">
        <v>30</v>
      </c>
      <c r="C26" s="12" t="s">
        <v>49</v>
      </c>
      <c r="D26" s="24">
        <f>SUM(D27:D34)</f>
        <v>0</v>
      </c>
      <c r="E26" s="25">
        <v>0</v>
      </c>
      <c r="F26" s="24">
        <f t="shared" ref="F26:I26" si="8">SUM(F27:F34)</f>
        <v>99042</v>
      </c>
      <c r="G26" s="24">
        <f t="shared" si="8"/>
        <v>43000</v>
      </c>
      <c r="H26" s="24">
        <f t="shared" si="8"/>
        <v>80725</v>
      </c>
      <c r="I26" s="24">
        <f t="shared" si="8"/>
        <v>1914</v>
      </c>
      <c r="J26" s="24">
        <f t="shared" si="2"/>
        <v>224681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2:24" s="27" customFormat="1" ht="17.25" customHeight="1" x14ac:dyDescent="0.2">
      <c r="B27" s="14" t="s">
        <v>31</v>
      </c>
      <c r="C27" s="10" t="s">
        <v>34</v>
      </c>
      <c r="D27" s="21">
        <v>0</v>
      </c>
      <c r="E27" s="22">
        <v>0</v>
      </c>
      <c r="F27" s="21">
        <v>97283</v>
      </c>
      <c r="G27" s="21">
        <v>43000</v>
      </c>
      <c r="H27" s="21">
        <v>80725</v>
      </c>
      <c r="I27" s="21">
        <v>1914</v>
      </c>
      <c r="J27" s="21">
        <f t="shared" si="2"/>
        <v>222922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27" customFormat="1" ht="17.25" customHeight="1" x14ac:dyDescent="0.2">
      <c r="B28" s="14" t="s">
        <v>32</v>
      </c>
      <c r="C28" s="10" t="s">
        <v>35</v>
      </c>
      <c r="D28" s="21">
        <v>0</v>
      </c>
      <c r="E28" s="22">
        <v>0</v>
      </c>
      <c r="F28" s="21">
        <v>0</v>
      </c>
      <c r="G28" s="21">
        <v>0</v>
      </c>
      <c r="H28" s="21">
        <v>0</v>
      </c>
      <c r="I28" s="21">
        <v>0</v>
      </c>
      <c r="J28" s="21">
        <f t="shared" si="2"/>
        <v>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2:24" s="27" customFormat="1" ht="17.25" customHeight="1" x14ac:dyDescent="0.2">
      <c r="B29" s="14" t="s">
        <v>33</v>
      </c>
      <c r="C29" s="10" t="s">
        <v>44</v>
      </c>
      <c r="D29" s="21">
        <v>0</v>
      </c>
      <c r="E29" s="22">
        <v>0</v>
      </c>
      <c r="F29" s="21">
        <v>0</v>
      </c>
      <c r="G29" s="21">
        <v>0</v>
      </c>
      <c r="H29" s="21">
        <v>0</v>
      </c>
      <c r="I29" s="21">
        <v>0</v>
      </c>
      <c r="J29" s="21">
        <f t="shared" si="2"/>
        <v>0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2:24" s="27" customFormat="1" ht="17.25" customHeight="1" x14ac:dyDescent="0.2">
      <c r="B30" s="14" t="s">
        <v>39</v>
      </c>
      <c r="C30" s="10" t="s">
        <v>36</v>
      </c>
      <c r="D30" s="21">
        <v>0</v>
      </c>
      <c r="E30" s="22">
        <v>0</v>
      </c>
      <c r="F30" s="21">
        <v>0</v>
      </c>
      <c r="G30" s="21">
        <v>0</v>
      </c>
      <c r="H30" s="21">
        <v>0</v>
      </c>
      <c r="I30" s="21">
        <v>0</v>
      </c>
      <c r="J30" s="21">
        <f t="shared" si="2"/>
        <v>0</v>
      </c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2:24" s="27" customFormat="1" ht="15.75" x14ac:dyDescent="0.2">
      <c r="B31" s="14" t="s">
        <v>40</v>
      </c>
      <c r="C31" s="9" t="s">
        <v>37</v>
      </c>
      <c r="D31" s="21">
        <v>0</v>
      </c>
      <c r="E31" s="22">
        <v>0</v>
      </c>
      <c r="F31" s="21">
        <v>1759</v>
      </c>
      <c r="G31" s="21">
        <v>0</v>
      </c>
      <c r="H31" s="21">
        <v>0</v>
      </c>
      <c r="I31" s="21">
        <v>0</v>
      </c>
      <c r="J31" s="21">
        <f t="shared" si="2"/>
        <v>1759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2:24" s="27" customFormat="1" ht="31.5" x14ac:dyDescent="0.2">
      <c r="B32" s="14" t="s">
        <v>41</v>
      </c>
      <c r="C32" s="10" t="s">
        <v>38</v>
      </c>
      <c r="D32" s="21">
        <v>0</v>
      </c>
      <c r="E32" s="22">
        <v>0</v>
      </c>
      <c r="F32" s="21">
        <v>0</v>
      </c>
      <c r="G32" s="21">
        <v>0</v>
      </c>
      <c r="H32" s="21">
        <v>0</v>
      </c>
      <c r="I32" s="21">
        <v>0</v>
      </c>
      <c r="J32" s="21">
        <f t="shared" si="2"/>
        <v>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2:24" s="27" customFormat="1" ht="15.75" x14ac:dyDescent="0.2">
      <c r="B33" s="14" t="s">
        <v>75</v>
      </c>
      <c r="C33" s="10" t="s">
        <v>76</v>
      </c>
      <c r="D33" s="21">
        <v>0</v>
      </c>
      <c r="E33" s="22">
        <v>0</v>
      </c>
      <c r="F33" s="21">
        <v>0</v>
      </c>
      <c r="G33" s="21">
        <v>0</v>
      </c>
      <c r="H33" s="21">
        <v>0</v>
      </c>
      <c r="I33" s="21">
        <v>0</v>
      </c>
      <c r="J33" s="21">
        <f t="shared" si="2"/>
        <v>0</v>
      </c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2:24" s="27" customFormat="1" ht="15.75" x14ac:dyDescent="0.2">
      <c r="B34" s="14" t="s">
        <v>42</v>
      </c>
      <c r="C34" s="9" t="s">
        <v>43</v>
      </c>
      <c r="D34" s="21">
        <v>0</v>
      </c>
      <c r="E34" s="22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2"/>
        <v>0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2:24" s="26" customFormat="1" ht="15.75" x14ac:dyDescent="0.2">
      <c r="B35" s="8"/>
      <c r="C35" s="11" t="s">
        <v>50</v>
      </c>
      <c r="D35" s="24">
        <v>143961</v>
      </c>
      <c r="E35" s="25">
        <v>1162.73</v>
      </c>
      <c r="F35" s="24">
        <v>0</v>
      </c>
      <c r="G35" s="24">
        <f>50000+47283</f>
        <v>97283</v>
      </c>
      <c r="H35" s="24">
        <f>1759+43300</f>
        <v>45059</v>
      </c>
      <c r="I35" s="24">
        <v>80725</v>
      </c>
      <c r="J35" s="24">
        <f t="shared" si="2"/>
        <v>368190.73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s="26" customFormat="1" ht="15.75" x14ac:dyDescent="0.2">
      <c r="B36" s="8" t="s">
        <v>51</v>
      </c>
      <c r="C36" s="12" t="s">
        <v>60</v>
      </c>
      <c r="D36" s="24">
        <f>SUM(D37:D41)</f>
        <v>0</v>
      </c>
      <c r="E36" s="24">
        <f t="shared" ref="E36:I36" si="9">SUM(E37:E41)</f>
        <v>0</v>
      </c>
      <c r="F36" s="24">
        <f t="shared" si="9"/>
        <v>90120</v>
      </c>
      <c r="G36" s="24">
        <f t="shared" si="9"/>
        <v>840</v>
      </c>
      <c r="H36" s="24">
        <f t="shared" si="9"/>
        <v>0</v>
      </c>
      <c r="I36" s="24">
        <f t="shared" si="9"/>
        <v>686</v>
      </c>
      <c r="J36" s="24">
        <f t="shared" si="2"/>
        <v>91646</v>
      </c>
    </row>
    <row r="37" spans="2:24" s="27" customFormat="1" ht="15.75" x14ac:dyDescent="0.2">
      <c r="B37" s="14" t="s">
        <v>52</v>
      </c>
      <c r="C37" s="10" t="s">
        <v>56</v>
      </c>
      <c r="D37" s="21">
        <v>0</v>
      </c>
      <c r="E37" s="22">
        <v>0</v>
      </c>
      <c r="F37" s="21">
        <v>0</v>
      </c>
      <c r="G37" s="21">
        <v>0</v>
      </c>
      <c r="H37" s="21">
        <v>0</v>
      </c>
      <c r="I37" s="21">
        <v>0</v>
      </c>
      <c r="J37" s="21">
        <f t="shared" si="2"/>
        <v>0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2:24" s="27" customFormat="1" ht="15.75" x14ac:dyDescent="0.2">
      <c r="B38" s="14" t="s">
        <v>53</v>
      </c>
      <c r="C38" s="10" t="s">
        <v>57</v>
      </c>
      <c r="D38" s="21">
        <v>0</v>
      </c>
      <c r="E38" s="22">
        <v>0</v>
      </c>
      <c r="F38" s="21">
        <v>0</v>
      </c>
      <c r="G38" s="21">
        <f>840</f>
        <v>840</v>
      </c>
      <c r="H38" s="21">
        <v>0</v>
      </c>
      <c r="I38" s="21">
        <v>686</v>
      </c>
      <c r="J38" s="21">
        <f t="shared" si="2"/>
        <v>1526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2:24" s="27" customFormat="1" ht="15.75" x14ac:dyDescent="0.2">
      <c r="B39" s="14" t="s">
        <v>54</v>
      </c>
      <c r="C39" s="10" t="s">
        <v>58</v>
      </c>
      <c r="D39" s="21">
        <v>0</v>
      </c>
      <c r="E39" s="22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2"/>
        <v>0</v>
      </c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2:24" s="27" customFormat="1" ht="15.75" x14ac:dyDescent="0.2">
      <c r="B40" s="14" t="s">
        <v>55</v>
      </c>
      <c r="C40" s="10" t="s">
        <v>59</v>
      </c>
      <c r="D40" s="21">
        <v>0</v>
      </c>
      <c r="E40" s="22">
        <v>0</v>
      </c>
      <c r="F40" s="21">
        <v>0</v>
      </c>
      <c r="G40" s="21">
        <v>0</v>
      </c>
      <c r="H40" s="21">
        <v>0</v>
      </c>
      <c r="I40" s="21">
        <v>0</v>
      </c>
      <c r="J40" s="21">
        <f t="shared" si="2"/>
        <v>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2:24" s="27" customFormat="1" ht="15.75" x14ac:dyDescent="0.2">
      <c r="B41" s="14" t="s">
        <v>103</v>
      </c>
      <c r="C41" s="10" t="s">
        <v>104</v>
      </c>
      <c r="D41" s="21">
        <v>0</v>
      </c>
      <c r="E41" s="22">
        <v>0</v>
      </c>
      <c r="F41" s="21">
        <v>90120</v>
      </c>
      <c r="G41" s="21">
        <v>0</v>
      </c>
      <c r="H41" s="21">
        <v>0</v>
      </c>
      <c r="I41" s="21">
        <v>0</v>
      </c>
      <c r="J41" s="21">
        <f t="shared" si="2"/>
        <v>90120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2:24" s="26" customFormat="1" ht="15.75" x14ac:dyDescent="0.2">
      <c r="B42" s="8"/>
      <c r="C42" s="12" t="s">
        <v>61</v>
      </c>
      <c r="D42" s="24">
        <v>45060</v>
      </c>
      <c r="E42" s="25">
        <v>0</v>
      </c>
      <c r="F42" s="24">
        <v>45060</v>
      </c>
      <c r="G42" s="24">
        <f>840</f>
        <v>840</v>
      </c>
      <c r="H42" s="24">
        <v>0</v>
      </c>
      <c r="I42" s="24">
        <f>686</f>
        <v>686</v>
      </c>
      <c r="J42" s="24">
        <f t="shared" si="2"/>
        <v>91646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2:24" s="26" customFormat="1" ht="31.5" x14ac:dyDescent="0.2">
      <c r="B43" s="8" t="s">
        <v>62</v>
      </c>
      <c r="C43" s="12" t="s">
        <v>63</v>
      </c>
      <c r="D43" s="24">
        <f>SUM(D44:D46)</f>
        <v>6646.85</v>
      </c>
      <c r="E43" s="24">
        <f>SUM(E44:E46)</f>
        <v>9833.52</v>
      </c>
      <c r="F43" s="24">
        <f>SUM(F44:F46)</f>
        <v>49752</v>
      </c>
      <c r="G43" s="24">
        <f t="shared" ref="G43:H43" si="10">SUM(G44:G46)</f>
        <v>35487.17</v>
      </c>
      <c r="H43" s="24">
        <f t="shared" si="10"/>
        <v>22998.010000000002</v>
      </c>
      <c r="I43" s="24">
        <f>SUM(I44:I46)</f>
        <v>3422.48</v>
      </c>
      <c r="J43" s="24">
        <f t="shared" si="2"/>
        <v>128140.02999999998</v>
      </c>
    </row>
    <row r="44" spans="2:24" s="27" customFormat="1" ht="15.75" x14ac:dyDescent="0.2">
      <c r="B44" s="14" t="s">
        <v>65</v>
      </c>
      <c r="C44" s="10" t="s">
        <v>96</v>
      </c>
      <c r="D44" s="21">
        <f>2886</f>
        <v>2886</v>
      </c>
      <c r="E44" s="22">
        <f>570+4410+293</f>
        <v>5273</v>
      </c>
      <c r="F44" s="21">
        <f>7665+25830+580+7320</f>
        <v>41395</v>
      </c>
      <c r="G44" s="21">
        <f>7923+6720+5424+7962.32</f>
        <v>28029.32</v>
      </c>
      <c r="H44" s="21">
        <f>1579+11452+3639</f>
        <v>16670</v>
      </c>
      <c r="I44" s="21">
        <f>380</f>
        <v>380</v>
      </c>
      <c r="J44" s="21">
        <f t="shared" si="2"/>
        <v>94633.32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24" s="27" customFormat="1" ht="15.75" x14ac:dyDescent="0.2">
      <c r="B45" s="14" t="s">
        <v>94</v>
      </c>
      <c r="C45" s="10" t="s">
        <v>97</v>
      </c>
      <c r="D45" s="21">
        <v>0</v>
      </c>
      <c r="E45" s="22">
        <v>0</v>
      </c>
      <c r="F45" s="21">
        <v>0</v>
      </c>
      <c r="G45" s="21">
        <v>0</v>
      </c>
      <c r="H45" s="21">
        <v>0</v>
      </c>
      <c r="I45" s="21">
        <v>0</v>
      </c>
      <c r="J45" s="21">
        <f t="shared" si="2"/>
        <v>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2:24" s="27" customFormat="1" ht="15.75" x14ac:dyDescent="0.2">
      <c r="B46" s="14" t="s">
        <v>95</v>
      </c>
      <c r="C46" s="10" t="s">
        <v>98</v>
      </c>
      <c r="D46" s="21">
        <v>3760.85</v>
      </c>
      <c r="E46" s="22">
        <f>4560.52</f>
        <v>4560.5200000000004</v>
      </c>
      <c r="F46" s="21">
        <f>3182+5175</f>
        <v>8357</v>
      </c>
      <c r="G46" s="21">
        <v>7457.85</v>
      </c>
      <c r="H46" s="21">
        <f>4378.01+1950</f>
        <v>6328.01</v>
      </c>
      <c r="I46" s="21">
        <f>3042.48</f>
        <v>3042.48</v>
      </c>
      <c r="J46" s="21">
        <f t="shared" si="2"/>
        <v>33506.710000000006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2:24" s="26" customFormat="1" ht="31.5" x14ac:dyDescent="0.2">
      <c r="B47" s="8"/>
      <c r="C47" s="12" t="s">
        <v>64</v>
      </c>
      <c r="D47" s="24">
        <f>2886+6000</f>
        <v>8886</v>
      </c>
      <c r="E47" s="25">
        <f>570+4410+3000+293</f>
        <v>8273</v>
      </c>
      <c r="F47" s="24">
        <f>889.5+7665+3000+5175+25830+7320</f>
        <v>49879.5</v>
      </c>
      <c r="G47" s="24">
        <f>7923+9000+6720+580+5424+7962.32</f>
        <v>37609.32</v>
      </c>
      <c r="H47" s="24">
        <f>1579+11452+1950+3639+3000</f>
        <v>21620</v>
      </c>
      <c r="I47" s="24">
        <f>3000+380+3030</f>
        <v>6410</v>
      </c>
      <c r="J47" s="24">
        <f t="shared" si="2"/>
        <v>132677.82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</row>
    <row r="48" spans="2:24" s="26" customFormat="1" ht="15.75" x14ac:dyDescent="0.2">
      <c r="B48" s="8" t="s">
        <v>67</v>
      </c>
      <c r="C48" s="12" t="s">
        <v>66</v>
      </c>
      <c r="D48" s="24">
        <f>SUM(D49:D52)</f>
        <v>19598.510000000002</v>
      </c>
      <c r="E48" s="25">
        <f>SUM(E49:E52)</f>
        <v>11692.1</v>
      </c>
      <c r="F48" s="24">
        <f t="shared" ref="F48:I48" si="11">SUM(F49:F52)</f>
        <v>14515.39</v>
      </c>
      <c r="G48" s="24">
        <f t="shared" si="11"/>
        <v>11914.220000000001</v>
      </c>
      <c r="H48" s="24">
        <f t="shared" si="11"/>
        <v>18475.580000000002</v>
      </c>
      <c r="I48" s="24">
        <f t="shared" si="11"/>
        <v>10984.65</v>
      </c>
      <c r="J48" s="24">
        <f t="shared" si="2"/>
        <v>87180.45</v>
      </c>
    </row>
    <row r="49" spans="2:24" s="26" customFormat="1" ht="15.75" x14ac:dyDescent="0.2">
      <c r="B49" s="8" t="s">
        <v>67</v>
      </c>
      <c r="C49" s="10" t="s">
        <v>68</v>
      </c>
      <c r="D49" s="21">
        <f>8052+672+300</f>
        <v>9024</v>
      </c>
      <c r="E49" s="21">
        <f>80.52+672+300</f>
        <v>1052.52</v>
      </c>
      <c r="F49" s="21">
        <f>80.52+672+300</f>
        <v>1052.52</v>
      </c>
      <c r="G49" s="21">
        <f>80.52+672+300</f>
        <v>1052.52</v>
      </c>
      <c r="H49" s="21">
        <f>80.52+672+300</f>
        <v>1052.52</v>
      </c>
      <c r="I49" s="21">
        <f>80.52+672+300</f>
        <v>1052.52</v>
      </c>
      <c r="J49" s="21">
        <f t="shared" si="2"/>
        <v>14286.600000000002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2:24" s="26" customFormat="1" ht="15.75" x14ac:dyDescent="0.2">
      <c r="B50" s="8" t="s">
        <v>72</v>
      </c>
      <c r="C50" s="10" t="s">
        <v>1</v>
      </c>
      <c r="D50" s="21">
        <v>0</v>
      </c>
      <c r="E50" s="22">
        <v>0</v>
      </c>
      <c r="F50" s="21">
        <v>0</v>
      </c>
      <c r="G50" s="21">
        <v>0</v>
      </c>
      <c r="H50" s="21">
        <v>0</v>
      </c>
      <c r="I50" s="21">
        <v>0</v>
      </c>
      <c r="J50" s="21">
        <f t="shared" si="2"/>
        <v>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</row>
    <row r="51" spans="2:24" s="26" customFormat="1" ht="15.75" x14ac:dyDescent="0.2">
      <c r="B51" s="8" t="s">
        <v>73</v>
      </c>
      <c r="C51" s="10" t="s">
        <v>69</v>
      </c>
      <c r="D51" s="21">
        <v>618.59</v>
      </c>
      <c r="E51" s="22">
        <v>423.14</v>
      </c>
      <c r="F51" s="21">
        <v>809.28</v>
      </c>
      <c r="G51" s="21">
        <v>705.02</v>
      </c>
      <c r="H51" s="21">
        <v>503.62</v>
      </c>
      <c r="I51" s="21">
        <v>542.15</v>
      </c>
      <c r="J51" s="21">
        <f t="shared" si="2"/>
        <v>3601.7999999999997</v>
      </c>
    </row>
    <row r="52" spans="2:24" s="26" customFormat="1" ht="15.75" x14ac:dyDescent="0.2">
      <c r="B52" s="8" t="s">
        <v>74</v>
      </c>
      <c r="C52" s="10" t="s">
        <v>71</v>
      </c>
      <c r="D52" s="21">
        <f>535.68+2388.24+7032</f>
        <v>9955.92</v>
      </c>
      <c r="E52" s="21">
        <f>535.68+2105.76+7575</f>
        <v>10216.44</v>
      </c>
      <c r="F52" s="21">
        <f>483.84+1950.75+2900+7319</f>
        <v>12653.59</v>
      </c>
      <c r="G52" s="21">
        <f>535.68+1836+7785</f>
        <v>10156.68</v>
      </c>
      <c r="H52" s="21">
        <f>397.44+9450+7072</f>
        <v>16919.440000000002</v>
      </c>
      <c r="I52" s="21">
        <f>680+8709.98</f>
        <v>9389.98</v>
      </c>
      <c r="J52" s="21">
        <f t="shared" si="2"/>
        <v>69292.05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2:24" s="29" customFormat="1" ht="15.75" x14ac:dyDescent="0.2">
      <c r="B53" s="13"/>
      <c r="C53" s="33" t="s">
        <v>70</v>
      </c>
      <c r="D53" s="28">
        <f>600+535.68+7353+D51</f>
        <v>9107.27</v>
      </c>
      <c r="E53" s="28">
        <f>E51+161.04+1119.94+7032+3646.56+535.68</f>
        <v>12918.359999999999</v>
      </c>
      <c r="F53" s="28">
        <f>F51+161.04+403.2+2105.76+896.06+600+2900+7575</f>
        <v>15450.34</v>
      </c>
      <c r="G53" s="28">
        <f>G51+616.32+1950.75+7319+8709.98</f>
        <v>19301.07</v>
      </c>
      <c r="H53" s="28">
        <f>H51+7785+9450+600+1344+1836+397.44+161.04</f>
        <v>22077.100000000002</v>
      </c>
      <c r="I53" s="28">
        <f>680+7072</f>
        <v>7752</v>
      </c>
      <c r="J53" s="28">
        <f t="shared" si="2"/>
        <v>86606.14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2:24" s="26" customFormat="1" ht="31.5" x14ac:dyDescent="0.2">
      <c r="B54" s="8" t="s">
        <v>84</v>
      </c>
      <c r="C54" s="12" t="s">
        <v>90</v>
      </c>
      <c r="D54" s="24">
        <f>SUM(D55:D59)</f>
        <v>0</v>
      </c>
      <c r="E54" s="25">
        <v>0</v>
      </c>
      <c r="F54" s="24">
        <f t="shared" ref="F54:I54" si="12">SUM(F55:F59)</f>
        <v>0</v>
      </c>
      <c r="G54" s="24">
        <f t="shared" si="12"/>
        <v>0</v>
      </c>
      <c r="H54" s="24">
        <f t="shared" si="12"/>
        <v>0</v>
      </c>
      <c r="I54" s="24">
        <f t="shared" si="12"/>
        <v>0</v>
      </c>
      <c r="J54" s="24">
        <f t="shared" si="2"/>
        <v>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2:24" s="27" customFormat="1" ht="19.5" customHeight="1" x14ac:dyDescent="0.2">
      <c r="B55" s="14" t="s">
        <v>77</v>
      </c>
      <c r="C55" s="10" t="s">
        <v>79</v>
      </c>
      <c r="D55" s="21">
        <v>0</v>
      </c>
      <c r="E55" s="22">
        <v>0</v>
      </c>
      <c r="F55" s="21">
        <v>0</v>
      </c>
      <c r="G55" s="21">
        <v>0</v>
      </c>
      <c r="H55" s="22">
        <v>0</v>
      </c>
      <c r="I55" s="21">
        <v>0</v>
      </c>
      <c r="J55" s="21">
        <f t="shared" si="2"/>
        <v>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2:24" s="27" customFormat="1" ht="15.75" x14ac:dyDescent="0.2">
      <c r="B56" s="14" t="s">
        <v>82</v>
      </c>
      <c r="C56" s="10" t="s">
        <v>80</v>
      </c>
      <c r="D56" s="21">
        <v>0</v>
      </c>
      <c r="E56" s="22">
        <v>0</v>
      </c>
      <c r="F56" s="21">
        <v>0</v>
      </c>
      <c r="G56" s="21">
        <v>0</v>
      </c>
      <c r="H56" s="22">
        <v>0</v>
      </c>
      <c r="I56" s="21">
        <v>0</v>
      </c>
      <c r="J56" s="21">
        <f t="shared" si="2"/>
        <v>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2:24" s="27" customFormat="1" ht="15.75" x14ac:dyDescent="0.2">
      <c r="B57" s="14" t="s">
        <v>83</v>
      </c>
      <c r="C57" s="10" t="s">
        <v>81</v>
      </c>
      <c r="D57" s="21">
        <v>0</v>
      </c>
      <c r="E57" s="22">
        <v>0</v>
      </c>
      <c r="F57" s="21">
        <v>0</v>
      </c>
      <c r="G57" s="21">
        <v>0</v>
      </c>
      <c r="H57" s="22">
        <v>0</v>
      </c>
      <c r="I57" s="21">
        <v>0</v>
      </c>
      <c r="J57" s="21">
        <f t="shared" si="2"/>
        <v>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2:24" s="27" customFormat="1" ht="15.75" x14ac:dyDescent="0.2">
      <c r="B58" s="14" t="s">
        <v>85</v>
      </c>
      <c r="C58" s="10" t="s">
        <v>2</v>
      </c>
      <c r="D58" s="21">
        <v>0</v>
      </c>
      <c r="E58" s="22">
        <v>0</v>
      </c>
      <c r="F58" s="21">
        <v>0</v>
      </c>
      <c r="G58" s="21">
        <v>0</v>
      </c>
      <c r="H58" s="22">
        <v>0</v>
      </c>
      <c r="I58" s="21">
        <v>0</v>
      </c>
      <c r="J58" s="21">
        <f t="shared" si="2"/>
        <v>0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2:24" s="27" customFormat="1" ht="18" customHeight="1" x14ac:dyDescent="0.2">
      <c r="B59" s="14"/>
      <c r="C59" s="10" t="s">
        <v>86</v>
      </c>
      <c r="D59" s="21">
        <v>0</v>
      </c>
      <c r="E59" s="22">
        <v>0</v>
      </c>
      <c r="F59" s="21">
        <v>0</v>
      </c>
      <c r="G59" s="21">
        <v>0</v>
      </c>
      <c r="H59" s="22">
        <v>0</v>
      </c>
      <c r="I59" s="21">
        <v>0</v>
      </c>
      <c r="J59" s="21">
        <f t="shared" si="2"/>
        <v>0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2:24" s="26" customFormat="1" ht="31.5" x14ac:dyDescent="0.2">
      <c r="B60" s="8" t="s">
        <v>87</v>
      </c>
      <c r="C60" s="12" t="s">
        <v>88</v>
      </c>
      <c r="D60" s="24">
        <v>0</v>
      </c>
      <c r="E60" s="25">
        <v>0</v>
      </c>
      <c r="F60" s="24">
        <v>0</v>
      </c>
      <c r="G60" s="24">
        <v>0</v>
      </c>
      <c r="H60" s="25">
        <v>0</v>
      </c>
      <c r="I60" s="24">
        <v>0</v>
      </c>
      <c r="J60" s="24">
        <f t="shared" si="2"/>
        <v>0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2:24" s="27" customFormat="1" ht="15.75" x14ac:dyDescent="0.2">
      <c r="B61" s="14" t="s">
        <v>91</v>
      </c>
      <c r="C61" s="10" t="s">
        <v>99</v>
      </c>
      <c r="D61" s="21">
        <v>1884.77</v>
      </c>
      <c r="E61" s="22">
        <v>2329.5500000000002</v>
      </c>
      <c r="F61" s="21">
        <v>1959.47</v>
      </c>
      <c r="G61" s="21">
        <v>2041.84</v>
      </c>
      <c r="H61" s="21">
        <v>1626.13</v>
      </c>
      <c r="I61" s="21">
        <v>1036.08</v>
      </c>
      <c r="J61" s="21">
        <f t="shared" si="2"/>
        <v>10877.839999999998</v>
      </c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2:24" s="27" customFormat="1" ht="15.75" x14ac:dyDescent="0.2">
      <c r="B62" s="14" t="s">
        <v>100</v>
      </c>
      <c r="C62" s="10" t="s">
        <v>101</v>
      </c>
      <c r="D62" s="21">
        <v>0</v>
      </c>
      <c r="E62" s="22">
        <v>0</v>
      </c>
      <c r="F62" s="21">
        <v>0</v>
      </c>
      <c r="G62" s="21">
        <v>0</v>
      </c>
      <c r="H62" s="21">
        <v>0</v>
      </c>
      <c r="I62" s="21">
        <v>0</v>
      </c>
      <c r="J62" s="21">
        <f t="shared" si="2"/>
        <v>0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2:24" s="30" customFormat="1" ht="15.75" x14ac:dyDescent="0.2">
      <c r="B63" s="8"/>
      <c r="C63" s="12" t="s">
        <v>89</v>
      </c>
      <c r="D63" s="24">
        <v>0</v>
      </c>
      <c r="E63" s="25">
        <v>2628.45</v>
      </c>
      <c r="F63" s="24">
        <v>1829.55</v>
      </c>
      <c r="G63" s="24">
        <v>1959.47</v>
      </c>
      <c r="H63" s="24">
        <v>0</v>
      </c>
      <c r="I63" s="24">
        <v>0</v>
      </c>
      <c r="J63" s="24">
        <f t="shared" si="2"/>
        <v>6417.47</v>
      </c>
    </row>
    <row r="65" spans="2:19" ht="23.25" customHeight="1" x14ac:dyDescent="0.2">
      <c r="D65" s="31"/>
      <c r="E65" s="31"/>
    </row>
    <row r="66" spans="2:19" ht="15.75" x14ac:dyDescent="0.2">
      <c r="B66" s="38" t="s">
        <v>112</v>
      </c>
      <c r="C66" s="38"/>
      <c r="D66" s="38"/>
      <c r="E66" s="38"/>
      <c r="F66" s="38"/>
      <c r="G66" s="38"/>
      <c r="H66" s="38"/>
      <c r="I66" s="38"/>
      <c r="J66" s="38"/>
      <c r="K66" s="34"/>
      <c r="L66" s="34"/>
      <c r="M66" s="34"/>
      <c r="N66" s="34"/>
      <c r="O66" s="34"/>
      <c r="P66" s="34"/>
      <c r="Q66" s="34"/>
      <c r="R66" s="34"/>
      <c r="S66" s="34"/>
    </row>
  </sheetData>
  <mergeCells count="2">
    <mergeCell ref="B2:J2"/>
    <mergeCell ref="B66:J66"/>
  </mergeCells>
  <phoneticPr fontId="0" type="noConversion"/>
  <pageMargins left="0.75" right="0.75" top="1" bottom="1" header="0.5" footer="0.5"/>
  <pageSetup paperSize="9" scale="89" fitToHeight="0" orientation="landscape" r:id="rId1"/>
  <headerFooter alignWithMargins="0"/>
  <rowBreaks count="2" manualBreakCount="2">
    <brk id="25" min="1" max="9" man="1"/>
    <brk id="53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реалізація</vt:lpstr>
      <vt:lpstr>реалізація!Область_печати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2021-08-04T09:24:48Z</cp:lastPrinted>
  <dcterms:created xsi:type="dcterms:W3CDTF">1996-10-08T23:32:33Z</dcterms:created>
  <dcterms:modified xsi:type="dcterms:W3CDTF">2021-08-04T09:26:56Z</dcterms:modified>
</cp:coreProperties>
</file>