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50" windowHeight="7905"/>
  </bookViews>
  <sheets>
    <sheet name="штатний розпис" sheetId="1" r:id="rId1"/>
    <sheet name="Лист1" sheetId="2" r:id="rId2"/>
  </sheets>
  <definedNames>
    <definedName name="_xlnm.Print_Area" localSheetId="1">Лист1!$A$1:$N$144</definedName>
    <definedName name="_xlnm.Print_Area" localSheetId="0">'штатний розпис'!$A$1:$H$159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2" l="1"/>
  <c r="L33" i="2"/>
  <c r="E93" i="2" l="1"/>
  <c r="E85" i="2"/>
  <c r="E77" i="2"/>
  <c r="E16" i="2"/>
  <c r="E46" i="1" l="1"/>
  <c r="J154" i="1" l="1"/>
  <c r="M33" i="2" l="1"/>
  <c r="O33" i="2"/>
  <c r="M124" i="2" l="1"/>
  <c r="O124" i="2"/>
  <c r="O39" i="2"/>
  <c r="O23" i="2"/>
  <c r="O18" i="2"/>
  <c r="O11" i="2"/>
  <c r="O10" i="2"/>
  <c r="O9" i="2"/>
  <c r="O8" i="2"/>
  <c r="M123" i="2" l="1"/>
  <c r="M122" i="2"/>
  <c r="M121" i="2"/>
  <c r="M120" i="2"/>
  <c r="D69" i="1" l="1"/>
  <c r="N54" i="2"/>
  <c r="E56" i="2"/>
  <c r="D44" i="1" l="1"/>
  <c r="D143" i="1" l="1"/>
  <c r="D135" i="1"/>
  <c r="E98" i="2"/>
  <c r="O87" i="2"/>
  <c r="A4" i="2" l="1"/>
  <c r="L120" i="2" l="1"/>
  <c r="L121" i="2"/>
  <c r="L122" i="2"/>
  <c r="L123" i="2"/>
  <c r="N68" i="2"/>
  <c r="M109" i="2"/>
  <c r="L109" i="2" s="1"/>
  <c r="M110" i="2"/>
  <c r="L110" i="2" s="1"/>
  <c r="M111" i="2"/>
  <c r="L111" i="2" s="1"/>
  <c r="M112" i="2"/>
  <c r="L112" i="2" s="1"/>
  <c r="M113" i="2"/>
  <c r="L113" i="2" s="1"/>
  <c r="M114" i="2"/>
  <c r="L114" i="2" s="1"/>
  <c r="M115" i="2"/>
  <c r="L115" i="2" s="1"/>
  <c r="M108" i="2"/>
  <c r="L108" i="2" s="1"/>
  <c r="M102" i="2"/>
  <c r="L102" i="2" s="1"/>
  <c r="M88" i="2"/>
  <c r="L88" i="2" s="1"/>
  <c r="M49" i="2"/>
  <c r="L49" i="2" s="1"/>
  <c r="D32" i="1" l="1"/>
  <c r="D33" i="1"/>
  <c r="D31" i="1"/>
  <c r="D21" i="1"/>
  <c r="D22" i="1"/>
  <c r="D23" i="1"/>
  <c r="D24" i="1"/>
  <c r="D25" i="1"/>
  <c r="D26" i="1"/>
  <c r="D27" i="1"/>
  <c r="D28" i="1"/>
  <c r="D20" i="1"/>
  <c r="D37" i="1"/>
  <c r="D36" i="1"/>
  <c r="D41" i="1"/>
  <c r="D42" i="1"/>
  <c r="D43" i="1"/>
  <c r="D45" i="1"/>
  <c r="D46" i="1"/>
  <c r="D40" i="1"/>
  <c r="E50" i="1"/>
  <c r="D50" i="1"/>
  <c r="D49" i="1"/>
  <c r="D55" i="1"/>
  <c r="D54" i="1"/>
  <c r="D59" i="1"/>
  <c r="D58" i="1"/>
  <c r="E65" i="1"/>
  <c r="E66" i="1"/>
  <c r="E64" i="1"/>
  <c r="D63" i="1"/>
  <c r="D64" i="1"/>
  <c r="D65" i="1"/>
  <c r="D66" i="1"/>
  <c r="D62" i="1"/>
  <c r="D70" i="1"/>
  <c r="D74" i="1"/>
  <c r="D73" i="1"/>
  <c r="D71" i="1" l="1"/>
  <c r="D29" i="1"/>
  <c r="D67" i="1"/>
  <c r="D47" i="1"/>
  <c r="E78" i="1"/>
  <c r="D78" i="1"/>
  <c r="D79" i="1"/>
  <c r="D77" i="1"/>
  <c r="E85" i="1"/>
  <c r="E87" i="1"/>
  <c r="E88" i="1"/>
  <c r="E89" i="1"/>
  <c r="E90" i="1"/>
  <c r="E91" i="1"/>
  <c r="E84" i="1"/>
  <c r="D83" i="1"/>
  <c r="D84" i="1"/>
  <c r="D85" i="1"/>
  <c r="D86" i="1"/>
  <c r="D87" i="1"/>
  <c r="D88" i="1"/>
  <c r="D89" i="1"/>
  <c r="D90" i="1"/>
  <c r="D91" i="1"/>
  <c r="D82" i="1"/>
  <c r="D94" i="1"/>
  <c r="E98" i="1"/>
  <c r="E99" i="1"/>
  <c r="E97" i="1"/>
  <c r="D97" i="1"/>
  <c r="D98" i="1"/>
  <c r="D99" i="1"/>
  <c r="D96" i="1"/>
  <c r="E112" i="1"/>
  <c r="E111" i="1"/>
  <c r="D111" i="1"/>
  <c r="D112" i="1"/>
  <c r="D110" i="1"/>
  <c r="E104" i="1"/>
  <c r="E105" i="1"/>
  <c r="E106" i="1"/>
  <c r="E103" i="1"/>
  <c r="D103" i="1"/>
  <c r="D104" i="1"/>
  <c r="D105" i="1"/>
  <c r="D106" i="1"/>
  <c r="D102" i="1"/>
  <c r="E117" i="1"/>
  <c r="D116" i="1"/>
  <c r="D117" i="1"/>
  <c r="D115" i="1"/>
  <c r="E124" i="1"/>
  <c r="E125" i="1"/>
  <c r="E126" i="1"/>
  <c r="E127" i="1"/>
  <c r="E128" i="1"/>
  <c r="E129" i="1"/>
  <c r="E130" i="1"/>
  <c r="E123" i="1"/>
  <c r="D121" i="1"/>
  <c r="D122" i="1"/>
  <c r="D123" i="1"/>
  <c r="D124" i="1"/>
  <c r="D125" i="1"/>
  <c r="D126" i="1"/>
  <c r="D127" i="1"/>
  <c r="D128" i="1"/>
  <c r="D129" i="1"/>
  <c r="D130" i="1"/>
  <c r="D131" i="1"/>
  <c r="D120" i="1"/>
  <c r="E140" i="1"/>
  <c r="E141" i="1"/>
  <c r="E142" i="1"/>
  <c r="E143" i="1"/>
  <c r="E144" i="1"/>
  <c r="E145" i="1"/>
  <c r="E146" i="1"/>
  <c r="D142" i="1"/>
  <c r="D144" i="1"/>
  <c r="D145" i="1"/>
  <c r="D146" i="1"/>
  <c r="D137" i="1"/>
  <c r="D138" i="1"/>
  <c r="D140" i="1"/>
  <c r="D141" i="1"/>
  <c r="D134" i="1"/>
  <c r="D149" i="1"/>
  <c r="D150" i="1"/>
  <c r="K136" i="2"/>
  <c r="E136" i="2"/>
  <c r="O135" i="2"/>
  <c r="N135" i="2"/>
  <c r="N134" i="2"/>
  <c r="E132" i="2"/>
  <c r="M131" i="2"/>
  <c r="N131" i="2" s="1"/>
  <c r="M130" i="2"/>
  <c r="N130" i="2" s="1"/>
  <c r="M129" i="2"/>
  <c r="K129" i="2" s="1"/>
  <c r="M128" i="2"/>
  <c r="M127" i="2"/>
  <c r="M126" i="2"/>
  <c r="M125" i="2"/>
  <c r="O123" i="2"/>
  <c r="N123" i="2"/>
  <c r="O122" i="2"/>
  <c r="N122" i="2"/>
  <c r="O121" i="2"/>
  <c r="N121" i="2"/>
  <c r="O120" i="2"/>
  <c r="N120" i="2"/>
  <c r="N119" i="2"/>
  <c r="K119" i="2"/>
  <c r="E117" i="2"/>
  <c r="N116" i="2"/>
  <c r="K116" i="2"/>
  <c r="N115" i="2"/>
  <c r="N114" i="2"/>
  <c r="N113" i="2"/>
  <c r="O112" i="2"/>
  <c r="N112" i="2"/>
  <c r="O111" i="2"/>
  <c r="N111" i="2"/>
  <c r="K111" i="2"/>
  <c r="K110" i="2"/>
  <c r="N109" i="2"/>
  <c r="K109" i="2"/>
  <c r="O108" i="2"/>
  <c r="N108" i="2"/>
  <c r="K108" i="2"/>
  <c r="N107" i="2"/>
  <c r="N106" i="2"/>
  <c r="N105" i="2"/>
  <c r="K105" i="2"/>
  <c r="E103" i="2"/>
  <c r="N102" i="2"/>
  <c r="N101" i="2"/>
  <c r="K101" i="2"/>
  <c r="N100" i="2"/>
  <c r="N103" i="2" s="1"/>
  <c r="K100" i="2"/>
  <c r="E92" i="2"/>
  <c r="M91" i="2"/>
  <c r="M90" i="2"/>
  <c r="M89" i="2"/>
  <c r="O88" i="2"/>
  <c r="N88" i="2"/>
  <c r="K88" i="2"/>
  <c r="K92" i="2" s="1"/>
  <c r="N87" i="2"/>
  <c r="M97" i="2"/>
  <c r="K97" i="2" s="1"/>
  <c r="M96" i="2"/>
  <c r="K96" i="2" s="1"/>
  <c r="N95" i="2"/>
  <c r="K95" i="2"/>
  <c r="M84" i="2"/>
  <c r="M83" i="2"/>
  <c r="M82" i="2"/>
  <c r="N81" i="2"/>
  <c r="N79" i="2"/>
  <c r="K79" i="2"/>
  <c r="M76" i="2"/>
  <c r="M75" i="2"/>
  <c r="M74" i="2"/>
  <c r="M73" i="2"/>
  <c r="M72" i="2"/>
  <c r="N71" i="2"/>
  <c r="M70" i="2"/>
  <c r="M69" i="2"/>
  <c r="N67" i="2"/>
  <c r="E65" i="2"/>
  <c r="N64" i="2"/>
  <c r="K64" i="2"/>
  <c r="M63" i="2"/>
  <c r="K63" i="2" s="1"/>
  <c r="N62" i="2"/>
  <c r="K62" i="2"/>
  <c r="E60" i="2"/>
  <c r="N59" i="2"/>
  <c r="K59" i="2"/>
  <c r="N58" i="2"/>
  <c r="N60" i="2" s="1"/>
  <c r="K58" i="2"/>
  <c r="N55" i="2"/>
  <c r="N56" i="2" s="1"/>
  <c r="K55" i="2"/>
  <c r="E52" i="2"/>
  <c r="M51" i="2"/>
  <c r="M50" i="2"/>
  <c r="N48" i="2"/>
  <c r="N47" i="2"/>
  <c r="K45" i="2"/>
  <c r="E45" i="2"/>
  <c r="N44" i="2"/>
  <c r="N43" i="2"/>
  <c r="E41" i="2"/>
  <c r="N40" i="2"/>
  <c r="K40" i="2"/>
  <c r="N39" i="2"/>
  <c r="K39" i="2"/>
  <c r="E37" i="2"/>
  <c r="M36" i="2"/>
  <c r="K36" i="2"/>
  <c r="N35" i="2"/>
  <c r="K35" i="2"/>
  <c r="N33" i="2"/>
  <c r="K33" i="2"/>
  <c r="N32" i="2"/>
  <c r="K32" i="2"/>
  <c r="N31" i="2"/>
  <c r="K31" i="2"/>
  <c r="N30" i="2"/>
  <c r="N29" i="2"/>
  <c r="K29" i="2"/>
  <c r="O28" i="2"/>
  <c r="N28" i="2"/>
  <c r="K28" i="2"/>
  <c r="N27" i="2"/>
  <c r="K27" i="2"/>
  <c r="K25" i="2"/>
  <c r="E25" i="2"/>
  <c r="N24" i="2"/>
  <c r="N23" i="2"/>
  <c r="N25" i="2" s="1"/>
  <c r="E21" i="2"/>
  <c r="N20" i="2"/>
  <c r="K20" i="2"/>
  <c r="N19" i="2"/>
  <c r="K19" i="2"/>
  <c r="N18" i="2"/>
  <c r="N15" i="2"/>
  <c r="N14" i="2"/>
  <c r="K14" i="2"/>
  <c r="N13" i="2"/>
  <c r="K13" i="2"/>
  <c r="N12" i="2"/>
  <c r="K12" i="2"/>
  <c r="N11" i="2"/>
  <c r="K11" i="2"/>
  <c r="N10" i="2"/>
  <c r="N9" i="2"/>
  <c r="N8" i="2"/>
  <c r="K8" i="2"/>
  <c r="N7" i="2"/>
  <c r="D75" i="1"/>
  <c r="D60" i="1"/>
  <c r="D56" i="1"/>
  <c r="D51" i="1"/>
  <c r="C41" i="1"/>
  <c r="D38" i="1"/>
  <c r="D34" i="1"/>
  <c r="D132" i="1" l="1"/>
  <c r="O79" i="2"/>
  <c r="O95" i="2"/>
  <c r="E137" i="2"/>
  <c r="D147" i="1"/>
  <c r="D100" i="1"/>
  <c r="D92" i="1"/>
  <c r="D113" i="1"/>
  <c r="K65" i="2"/>
  <c r="K130" i="2"/>
  <c r="K131" i="2"/>
  <c r="L51" i="2"/>
  <c r="L63" i="2"/>
  <c r="L69" i="2"/>
  <c r="N69" i="2"/>
  <c r="L72" i="2"/>
  <c r="N73" i="2"/>
  <c r="L73" i="2"/>
  <c r="N74" i="2"/>
  <c r="L74" i="2"/>
  <c r="L75" i="2"/>
  <c r="K84" i="2"/>
  <c r="L82" i="2"/>
  <c r="L84" i="2"/>
  <c r="N90" i="2"/>
  <c r="L90" i="2"/>
  <c r="L124" i="2"/>
  <c r="L126" i="2"/>
  <c r="L127" i="2"/>
  <c r="L128" i="2"/>
  <c r="L129" i="2"/>
  <c r="O59" i="2"/>
  <c r="O81" i="2"/>
  <c r="K16" i="2"/>
  <c r="L36" i="2"/>
  <c r="L50" i="2"/>
  <c r="N63" i="2"/>
  <c r="N65" i="2" s="1"/>
  <c r="K69" i="2"/>
  <c r="N70" i="2"/>
  <c r="L70" i="2"/>
  <c r="K72" i="2"/>
  <c r="K73" i="2"/>
  <c r="K74" i="2"/>
  <c r="K75" i="2"/>
  <c r="N76" i="2"/>
  <c r="L76" i="2"/>
  <c r="L83" i="2"/>
  <c r="L96" i="2"/>
  <c r="L97" i="2"/>
  <c r="L89" i="2"/>
  <c r="L91" i="2"/>
  <c r="L125" i="2"/>
  <c r="K127" i="2"/>
  <c r="K128" i="2"/>
  <c r="L130" i="2"/>
  <c r="L131" i="2"/>
  <c r="N84" i="2"/>
  <c r="K98" i="2"/>
  <c r="N96" i="2"/>
  <c r="N97" i="2"/>
  <c r="N89" i="2"/>
  <c r="N91" i="2"/>
  <c r="K113" i="2"/>
  <c r="K114" i="2"/>
  <c r="K115" i="2"/>
  <c r="K124" i="2"/>
  <c r="K125" i="2"/>
  <c r="K126" i="2"/>
  <c r="D151" i="1"/>
  <c r="D80" i="1"/>
  <c r="D52" i="1"/>
  <c r="O13" i="2"/>
  <c r="N124" i="2"/>
  <c r="N125" i="2"/>
  <c r="N126" i="2"/>
  <c r="N127" i="2"/>
  <c r="N128" i="2"/>
  <c r="N129" i="2"/>
  <c r="D107" i="1"/>
  <c r="D108" i="1" s="1"/>
  <c r="N16" i="2"/>
  <c r="N21" i="2"/>
  <c r="K21" i="2"/>
  <c r="O20" i="2"/>
  <c r="K37" i="2"/>
  <c r="O35" i="2"/>
  <c r="N36" i="2"/>
  <c r="N37" i="2" s="1"/>
  <c r="K41" i="2"/>
  <c r="N41" i="2"/>
  <c r="N45" i="2"/>
  <c r="K49" i="2"/>
  <c r="K52" i="2" s="1"/>
  <c r="N51" i="2"/>
  <c r="K56" i="2"/>
  <c r="K60" i="2"/>
  <c r="N72" i="2"/>
  <c r="N75" i="2"/>
  <c r="K82" i="2"/>
  <c r="N83" i="2"/>
  <c r="K103" i="2"/>
  <c r="N110" i="2"/>
  <c r="D118" i="1"/>
  <c r="N136" i="2"/>
  <c r="O134" i="2"/>
  <c r="O100" i="2"/>
  <c r="O67" i="2"/>
  <c r="O58" i="2"/>
  <c r="O55" i="2"/>
  <c r="O54" i="2" s="1"/>
  <c r="O48" i="2"/>
  <c r="O47" i="2"/>
  <c r="O40" i="2"/>
  <c r="O32" i="2"/>
  <c r="O30" i="2"/>
  <c r="O29" i="2"/>
  <c r="O27" i="2"/>
  <c r="O24" i="2"/>
  <c r="O19" i="2"/>
  <c r="O15" i="2"/>
  <c r="O14" i="2"/>
  <c r="O12" i="2"/>
  <c r="O119" i="2"/>
  <c r="O107" i="2"/>
  <c r="O106" i="2"/>
  <c r="O105" i="2"/>
  <c r="O101" i="2"/>
  <c r="O68" i="2"/>
  <c r="O7" i="2"/>
  <c r="O31" i="2"/>
  <c r="O43" i="2"/>
  <c r="O44" i="2"/>
  <c r="N49" i="2"/>
  <c r="N50" i="2"/>
  <c r="O62" i="2"/>
  <c r="N82" i="2"/>
  <c r="K120" i="2"/>
  <c r="K121" i="2"/>
  <c r="K122" i="2"/>
  <c r="K123" i="2"/>
  <c r="D152" i="1" l="1"/>
  <c r="K85" i="2"/>
  <c r="K93" i="2" s="1"/>
  <c r="N132" i="2"/>
  <c r="N117" i="2"/>
  <c r="N92" i="2"/>
  <c r="N98" i="2"/>
  <c r="N85" i="2"/>
  <c r="N77" i="2"/>
  <c r="K77" i="2"/>
  <c r="K132" i="2"/>
  <c r="K117" i="2"/>
  <c r="N52" i="2"/>
  <c r="N93" i="2" l="1"/>
  <c r="N137" i="2" s="1"/>
  <c r="K137" i="2"/>
</calcChain>
</file>

<file path=xl/sharedStrings.xml><?xml version="1.0" encoding="utf-8"?>
<sst xmlns="http://schemas.openxmlformats.org/spreadsheetml/2006/main" count="455" uniqueCount="205">
  <si>
    <t>Додаток до наказу</t>
  </si>
  <si>
    <t>ЗАТВЕРДЖУЮ</t>
  </si>
  <si>
    <t>із місячним фондом заробітної плати</t>
  </si>
  <si>
    <t>ШТАТНИЙ РОЗПИС КП "Коломияводоканал"</t>
  </si>
  <si>
    <t>№ з/ п</t>
  </si>
  <si>
    <t>Назва структурних підпозділів та посад (професій)</t>
  </si>
  <si>
    <t>Код за Класифікатором професій ДК003:2010</t>
  </si>
  <si>
    <t xml:space="preserve">Кількість штатних одиниць </t>
  </si>
  <si>
    <t>Розряд         (за наявності)</t>
  </si>
  <si>
    <t>1.</t>
  </si>
  <si>
    <t>Апарат управління та керівництво</t>
  </si>
  <si>
    <t>Директор підприємства</t>
  </si>
  <si>
    <t>1210.1</t>
  </si>
  <si>
    <t>Головний інженер</t>
  </si>
  <si>
    <t>Заступник директора</t>
  </si>
  <si>
    <t>Головний енергетик</t>
  </si>
  <si>
    <t>1223.1</t>
  </si>
  <si>
    <t>Головний механік</t>
  </si>
  <si>
    <t>1222.1</t>
  </si>
  <si>
    <t>Інспектор з кадрів</t>
  </si>
  <si>
    <t>Інженер з охорони праці</t>
  </si>
  <si>
    <t>2149.2</t>
  </si>
  <si>
    <t>Завідувач складу</t>
  </si>
  <si>
    <t>1226.2</t>
  </si>
  <si>
    <t>Офісний службовець (друкування)</t>
  </si>
  <si>
    <t>Всього</t>
  </si>
  <si>
    <t>2.</t>
  </si>
  <si>
    <t>Виробничо-технічний відділ</t>
  </si>
  <si>
    <t>Начальник відділу</t>
  </si>
  <si>
    <t>1221.2</t>
  </si>
  <si>
    <t>Інженер-технолог</t>
  </si>
  <si>
    <t xml:space="preserve">Інженер </t>
  </si>
  <si>
    <t>3.</t>
  </si>
  <si>
    <t>Планово - економічний відділ</t>
  </si>
  <si>
    <t>Головний економіст</t>
  </si>
  <si>
    <t>Економіст</t>
  </si>
  <si>
    <t>2441.2</t>
  </si>
  <si>
    <t>4.</t>
  </si>
  <si>
    <t>Відділ по роботі із споживачами</t>
  </si>
  <si>
    <t>Заступник начальника відділу (по роботі із споживачами)</t>
  </si>
  <si>
    <t>Майстер</t>
  </si>
  <si>
    <t>1222.2</t>
  </si>
  <si>
    <t>Інженер з програмного забезпечення  комп'ютерів</t>
  </si>
  <si>
    <t>2131.3</t>
  </si>
  <si>
    <t>Бухгалтер</t>
  </si>
  <si>
    <t>Оператор комп'ютерного набору</t>
  </si>
  <si>
    <t>Контролер водопровідного господарства</t>
  </si>
  <si>
    <t>Слюсар-сантехнік</t>
  </si>
  <si>
    <t>4.1</t>
  </si>
  <si>
    <t>Підрозділ повірки лічильників води</t>
  </si>
  <si>
    <t xml:space="preserve">Майстер </t>
  </si>
  <si>
    <t>Слюсар - сантехнік</t>
  </si>
  <si>
    <t>Разом по ВРС</t>
  </si>
  <si>
    <t>5.</t>
  </si>
  <si>
    <t>Бухгалтерія</t>
  </si>
  <si>
    <t>Головний бухгалтер</t>
  </si>
  <si>
    <t>6.</t>
  </si>
  <si>
    <t>Юридичний відділ</t>
  </si>
  <si>
    <t>Начальник юридичного відділу</t>
  </si>
  <si>
    <t>Юрист</t>
  </si>
  <si>
    <t>2421.2</t>
  </si>
  <si>
    <t>7.</t>
  </si>
  <si>
    <t>Відділ головного енергетика</t>
  </si>
  <si>
    <t>Інженер  з автоматизованих систем керування виробництвом</t>
  </si>
  <si>
    <t>2131.2</t>
  </si>
  <si>
    <t>Електромонтер з ремонту та обслуговування електроустаткування</t>
  </si>
  <si>
    <t>8.</t>
  </si>
  <si>
    <t>Диспетчерська служба</t>
  </si>
  <si>
    <t>Диспетчер</t>
  </si>
  <si>
    <t>9.</t>
  </si>
  <si>
    <t>Вимірювальна лабораторія по контролю якості питної води</t>
  </si>
  <si>
    <t>Завідувач лабораторії</t>
  </si>
  <si>
    <t>1229.7</t>
  </si>
  <si>
    <t>Інженер-хімік</t>
  </si>
  <si>
    <t>2146.2</t>
  </si>
  <si>
    <t>10.</t>
  </si>
  <si>
    <t>Водозабірні споруди та насосна станція - І підйому</t>
  </si>
  <si>
    <t>Начальник дільниці</t>
  </si>
  <si>
    <t>Машиніст насосних установок</t>
  </si>
  <si>
    <t>Двірник</t>
  </si>
  <si>
    <t>11.</t>
  </si>
  <si>
    <t>Насосна станція - ІІ підйому та ремонтна майстерня  (с. Шепарівці)</t>
  </si>
  <si>
    <t>Інженер-технолог з очищення води</t>
  </si>
  <si>
    <t>Прибиральник виробничих приміщень</t>
  </si>
  <si>
    <t>Токар</t>
  </si>
  <si>
    <t>Слюсар-ремонтник</t>
  </si>
  <si>
    <t>Столяр</t>
  </si>
  <si>
    <t>Штукатур</t>
  </si>
  <si>
    <t>Фрезерувальник</t>
  </si>
  <si>
    <t>12.</t>
  </si>
  <si>
    <t>12.1</t>
  </si>
  <si>
    <t>Підрозділ водопровідних мереж</t>
  </si>
  <si>
    <t>Слюсар аварійно-відновлювальних робіт</t>
  </si>
  <si>
    <t xml:space="preserve">Електрогазозварник </t>
  </si>
  <si>
    <t>12.2</t>
  </si>
  <si>
    <t>Старший майстер</t>
  </si>
  <si>
    <t>Підрозділ каналізаційна насосна станція по вул. Леонтовича та підкачуючі насосні станції по місту</t>
  </si>
  <si>
    <t xml:space="preserve">Старший майстер </t>
  </si>
  <si>
    <t>13.</t>
  </si>
  <si>
    <t xml:space="preserve">Вимірювальна лабораторія по контролю якості зворотних  та поверхневих вод    </t>
  </si>
  <si>
    <t>Пробовідбірник</t>
  </si>
  <si>
    <t>14.</t>
  </si>
  <si>
    <t>Каналізаційні очисні споруди та головна каналізаційна насосна станція</t>
  </si>
  <si>
    <t>Оператор на решітці</t>
  </si>
  <si>
    <t>Машиніст технологічних компресорів</t>
  </si>
  <si>
    <t>Оператор очисних споруд</t>
  </si>
  <si>
    <t xml:space="preserve">Оператор на аеротенках </t>
  </si>
  <si>
    <t>Слюсар - ремонтник</t>
  </si>
  <si>
    <t>Електрогазозварник</t>
  </si>
  <si>
    <t>15.</t>
  </si>
  <si>
    <t>Дільниця транспорту та механізації</t>
  </si>
  <si>
    <t xml:space="preserve">Водій автотранспортних засобів (легковий автомобіль) </t>
  </si>
  <si>
    <t>Водій автотранспортних засобів (спеціалізований автомобіль від 3 т  до 5 т)</t>
  </si>
  <si>
    <t>Водій автотранспортних засобів (спеціалізований автомобіль від 10 т  до 20 т)</t>
  </si>
  <si>
    <t>Водій автотранспортних засобів (автомобіль для перевезення асені-заційних вантажів від 3 т до 5 т)</t>
  </si>
  <si>
    <t>Машиніст бульдозера (будівельні роботи) Т-170</t>
  </si>
  <si>
    <t xml:space="preserve">Машиніст екскаватора одноковшового </t>
  </si>
  <si>
    <t>Машиніст навантажувальної машини ("Карпатець")</t>
  </si>
  <si>
    <t>Слюсар з ремонту колісних транспортних засобів</t>
  </si>
  <si>
    <t>16.</t>
  </si>
  <si>
    <t>Відділ охорони</t>
  </si>
  <si>
    <t>Начальник охорони</t>
  </si>
  <si>
    <t>Охоронник</t>
  </si>
  <si>
    <t>Всього по  підприємству</t>
  </si>
  <si>
    <t>Учневі  відповідної професії, який примається на роботу встановлюється заробітна плата  з розрахунку мінімальної заробітної плати на момент прийняття на роботу.</t>
  </si>
  <si>
    <t>ПОГОДЖЕНО</t>
  </si>
  <si>
    <t>Голова профспілкової організації</t>
  </si>
  <si>
    <t>Світлана МАРУНЯК</t>
  </si>
  <si>
    <t>заробітна плата робітника основної професії І розряду (машиніст насосних установок)</t>
  </si>
  <si>
    <t>№ з/п</t>
  </si>
  <si>
    <t>Назва структурного підрозділу/ посада</t>
  </si>
  <si>
    <t>Категорія</t>
  </si>
  <si>
    <t>Код за  КП ДК 003:2010</t>
  </si>
  <si>
    <t>Кількість штатних одиниць</t>
  </si>
  <si>
    <t>Розряд (за наявності)</t>
  </si>
  <si>
    <t>Коефіцієнт співвідношення</t>
  </si>
  <si>
    <t>Коефіцієнт розряду</t>
  </si>
  <si>
    <t>Коефіцієнт за посадою</t>
  </si>
  <si>
    <t>Надбавка за стаж</t>
  </si>
  <si>
    <t>Посадовий оклад / класність, (грн.)</t>
  </si>
  <si>
    <t>Фонд заробітної плати на місяць за посадовими окладами</t>
  </si>
  <si>
    <t>Апарат управління</t>
  </si>
  <si>
    <t>керівник</t>
  </si>
  <si>
    <t>фахівець</t>
  </si>
  <si>
    <t>професіонал</t>
  </si>
  <si>
    <t>Секретар-друкарка</t>
  </si>
  <si>
    <t>технічний службовець</t>
  </si>
  <si>
    <t>Інженер - технолог</t>
  </si>
  <si>
    <t>Інженер</t>
  </si>
  <si>
    <t>Планово-економічний відділ</t>
  </si>
  <si>
    <t>Відділ по роботі із споживача</t>
  </si>
  <si>
    <t>майстер</t>
  </si>
  <si>
    <t>Інженер з програмного забезпечення комп'ютерів</t>
  </si>
  <si>
    <t>роб.</t>
  </si>
  <si>
    <t>1.1</t>
  </si>
  <si>
    <t>1.2</t>
  </si>
  <si>
    <t>Інженер з автоматизованих систем керуванням виробництвом</t>
  </si>
  <si>
    <t>Насосна станція - ІІ підйому та ремонтна майстерні (с.Шепарівці)</t>
  </si>
  <si>
    <t xml:space="preserve"> </t>
  </si>
  <si>
    <t>Слюсар аварійно-відновлюваних робіт</t>
  </si>
  <si>
    <t>1.3</t>
  </si>
  <si>
    <t>1.4</t>
  </si>
  <si>
    <t>2.1</t>
  </si>
  <si>
    <t>2.2</t>
  </si>
  <si>
    <t>2.3</t>
  </si>
  <si>
    <t>Разом по дільниці</t>
  </si>
  <si>
    <t>Вимірювальна лабораторія по контролю якості зворотних та поверхневих вод</t>
  </si>
  <si>
    <t>Оператор на аеротенках</t>
  </si>
  <si>
    <t>Водій автотранспортних засобів (легковий автомобіль)</t>
  </si>
  <si>
    <t>Водій автотранспортних засобів (спеціалізований автомобіль від 3 т до 5 т)</t>
  </si>
  <si>
    <t>Водій автотранспортних засобів (спеціалізований автомобіль від 10 т до 20 т)</t>
  </si>
  <si>
    <t>Машиніст екскаватора одноковшового</t>
  </si>
  <si>
    <t>Тракторист</t>
  </si>
  <si>
    <t>Всього по підприємству</t>
  </si>
  <si>
    <t>2.4</t>
  </si>
  <si>
    <t>2.5</t>
  </si>
  <si>
    <t>Дільниця каналізаційних мереж</t>
  </si>
  <si>
    <t>Підрозділ Каналізаційна насосна станція по вул.Леонтовича та підкачуючі насосні станції по місту</t>
  </si>
  <si>
    <t>1</t>
  </si>
  <si>
    <t>2</t>
  </si>
  <si>
    <t>3</t>
  </si>
  <si>
    <t>Дільниця водопровідних мереж та Каналізаційна насосна станція по вул. Леонтовича</t>
  </si>
  <si>
    <t>17.</t>
  </si>
  <si>
    <t>Фахівець з комп'ютерно-інформаційного обслуговування споживачів</t>
  </si>
  <si>
    <t>Старший диспетчер</t>
  </si>
  <si>
    <t>прожитковий мінімум на 01.01.2024</t>
  </si>
  <si>
    <t xml:space="preserve">Начальник </t>
  </si>
  <si>
    <t>Водій автотранспортних засобів (автомобіль для перевезення асенізаційних вантажів від 3т до 5 т)</t>
  </si>
  <si>
    <t>норма робочих годин у 2024 при 40-год роб тижні</t>
  </si>
  <si>
    <t>середньоміс норма роб год у 2024 при 40-год роб тижні</t>
  </si>
  <si>
    <t>Ольга ГАВРИЛЮК</t>
  </si>
  <si>
    <t>Водій автотранспортних засобів (спеціалізований автомобіль  від 7т до 10 т)</t>
  </si>
  <si>
    <t>Водій автотранспортних засобів (спеціалізований автомобіль від 7 т до 10 т)</t>
  </si>
  <si>
    <t>штат у кількості 194 штатні одиниці</t>
  </si>
  <si>
    <r>
      <t>Прибиральник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виробничих</t>
    </r>
    <r>
      <rPr>
        <sz val="10"/>
        <color theme="1"/>
        <rFont val="Times New Roman"/>
        <family val="1"/>
        <charset val="204"/>
      </rPr>
      <t xml:space="preserve"> приміщень</t>
    </r>
  </si>
  <si>
    <t>Апаратник хімводоочищення</t>
  </si>
  <si>
    <r>
      <t xml:space="preserve">2 568  048,30 грн.  </t>
    </r>
    <r>
      <rPr>
        <sz val="12"/>
        <rFont val="Times New Roman"/>
        <family val="1"/>
        <charset val="204"/>
      </rPr>
      <t>(два мільйони п'ятсот шістдесят вісім тисяч сорок вісім гривень  30 коп)</t>
    </r>
  </si>
  <si>
    <t>Директор  КП "Коломияводоканал"        _________________Славомир ЗУМЕР</t>
  </si>
  <si>
    <t xml:space="preserve">       М.П.         25 січня 2024 року                     </t>
  </si>
  <si>
    <t>Вводиться в дію з 01 лютого 2024 року</t>
  </si>
  <si>
    <t>Директор КП "Коломияводоканал"</t>
  </si>
  <si>
    <t>Славомир ЗУМЕР</t>
  </si>
  <si>
    <t xml:space="preserve">Головний економіст </t>
  </si>
  <si>
    <t>Світлана Маруняк</t>
  </si>
  <si>
    <t>Погодинний оклад  (грн)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</si>
</sst>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56">
    <xf numFmtId="0" fontId="0" fillId="0" borderId="0" xfId="0"/>
    <xf numFmtId="0" fontId="4" fillId="2" borderId="0" xfId="1" applyFont="1" applyFill="1" applyAlignment="1"/>
    <xf numFmtId="2" fontId="3" fillId="0" borderId="0" xfId="1" applyNumberFormat="1"/>
    <xf numFmtId="0" fontId="3" fillId="0" borderId="0" xfId="1"/>
    <xf numFmtId="0" fontId="6" fillId="2" borderId="0" xfId="1" applyFont="1" applyFill="1" applyAlignment="1">
      <alignment horizontal="center"/>
    </xf>
    <xf numFmtId="0" fontId="5" fillId="2" borderId="0" xfId="1" applyFont="1" applyFill="1" applyAlignment="1">
      <alignment wrapText="1"/>
    </xf>
    <xf numFmtId="0" fontId="7" fillId="2" borderId="0" xfId="1" applyFont="1" applyFill="1"/>
    <xf numFmtId="0" fontId="5" fillId="2" borderId="0" xfId="1" applyFont="1" applyFill="1" applyAlignment="1">
      <alignment vertical="center" wrapText="1"/>
    </xf>
    <xf numFmtId="0" fontId="3" fillId="2" borderId="0" xfId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6" fillId="2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left" wrapText="1"/>
    </xf>
    <xf numFmtId="0" fontId="8" fillId="2" borderId="0" xfId="1" applyFont="1" applyFill="1"/>
    <xf numFmtId="0" fontId="4" fillId="2" borderId="0" xfId="1" applyFont="1" applyFill="1" applyAlignment="1">
      <alignment horizontal="center" vertical="center"/>
    </xf>
    <xf numFmtId="0" fontId="9" fillId="2" borderId="0" xfId="1" applyFont="1" applyFill="1" applyAlignment="1"/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vertical="center"/>
    </xf>
    <xf numFmtId="4" fontId="10" fillId="2" borderId="4" xfId="1" applyNumberFormat="1" applyFont="1" applyFill="1" applyBorder="1" applyAlignment="1">
      <alignment vertical="center"/>
    </xf>
    <xf numFmtId="4" fontId="10" fillId="2" borderId="2" xfId="1" applyNumberFormat="1" applyFont="1" applyFill="1" applyBorder="1" applyAlignment="1">
      <alignment vertical="center"/>
    </xf>
    <xf numFmtId="0" fontId="5" fillId="2" borderId="2" xfId="1" applyFont="1" applyFill="1" applyBorder="1" applyAlignment="1">
      <alignment horizontal="left" vertical="center" wrapText="1"/>
    </xf>
    <xf numFmtId="4" fontId="10" fillId="2" borderId="2" xfId="1" applyNumberFormat="1" applyFont="1" applyFill="1" applyBorder="1" applyAlignment="1">
      <alignment horizontal="right" vertical="center" wrapText="1"/>
    </xf>
    <xf numFmtId="0" fontId="10" fillId="2" borderId="2" xfId="1" applyFont="1" applyFill="1" applyBorder="1" applyAlignment="1">
      <alignment horizontal="left" vertical="center"/>
    </xf>
    <xf numFmtId="4" fontId="10" fillId="2" borderId="4" xfId="1" applyNumberFormat="1" applyFont="1" applyFill="1" applyBorder="1" applyAlignment="1">
      <alignment horizontal="right" vertical="center"/>
    </xf>
    <xf numFmtId="0" fontId="3" fillId="3" borderId="0" xfId="1" applyFill="1"/>
    <xf numFmtId="0" fontId="5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 wrapText="1"/>
    </xf>
    <xf numFmtId="4" fontId="10" fillId="2" borderId="2" xfId="1" applyNumberFormat="1" applyFont="1" applyFill="1" applyBorder="1" applyAlignment="1">
      <alignment horizontal="right" vertical="center"/>
    </xf>
    <xf numFmtId="4" fontId="10" fillId="2" borderId="2" xfId="1" applyNumberFormat="1" applyFont="1" applyFill="1" applyBorder="1" applyAlignment="1">
      <alignment horizontal="center" vertical="center"/>
    </xf>
    <xf numFmtId="0" fontId="3" fillId="2" borderId="0" xfId="1" applyFill="1"/>
    <xf numFmtId="0" fontId="10" fillId="2" borderId="2" xfId="1" applyFont="1" applyFill="1" applyBorder="1" applyAlignment="1">
      <alignment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2" fontId="10" fillId="2" borderId="2" xfId="1" applyNumberFormat="1" applyFont="1" applyFill="1" applyBorder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2" fontId="3" fillId="3" borderId="0" xfId="1" applyNumberFormat="1" applyFill="1"/>
    <xf numFmtId="4" fontId="5" fillId="2" borderId="7" xfId="1" applyNumberFormat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4" fontId="10" fillId="0" borderId="4" xfId="1" applyNumberFormat="1" applyFont="1" applyFill="1" applyBorder="1" applyAlignment="1">
      <alignment horizontal="right" vertical="center"/>
    </xf>
    <xf numFmtId="0" fontId="13" fillId="2" borderId="2" xfId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wrapText="1"/>
    </xf>
    <xf numFmtId="0" fontId="6" fillId="2" borderId="2" xfId="1" applyFont="1" applyFill="1" applyBorder="1" applyAlignment="1">
      <alignment horizontal="left" vertical="center"/>
    </xf>
    <xf numFmtId="4" fontId="12" fillId="2" borderId="2" xfId="2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2" fontId="10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horizontal="right" vertical="center"/>
    </xf>
    <xf numFmtId="0" fontId="10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3" fillId="0" borderId="0" xfId="1" applyAlignment="1">
      <alignment horizontal="center" wrapText="1"/>
    </xf>
    <xf numFmtId="0" fontId="5" fillId="2" borderId="0" xfId="1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4" borderId="0" xfId="0" applyFill="1"/>
    <xf numFmtId="4" fontId="19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5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left" vertical="center"/>
    </xf>
    <xf numFmtId="4" fontId="5" fillId="2" borderId="2" xfId="1" applyNumberFormat="1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left"/>
    </xf>
    <xf numFmtId="0" fontId="25" fillId="2" borderId="0" xfId="1" applyFont="1" applyFill="1" applyAlignment="1">
      <alignment horizontal="left"/>
    </xf>
    <xf numFmtId="0" fontId="4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12" fillId="0" borderId="5" xfId="1" applyFont="1" applyFill="1" applyBorder="1" applyAlignment="1">
      <alignment horizontal="left" vertical="center"/>
    </xf>
    <xf numFmtId="0" fontId="12" fillId="0" borderId="6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 wrapText="1"/>
    </xf>
    <xf numFmtId="0" fontId="12" fillId="2" borderId="5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horizontal="left" vertical="center"/>
    </xf>
    <xf numFmtId="0" fontId="12" fillId="2" borderId="7" xfId="1" applyFont="1" applyFill="1" applyBorder="1" applyAlignment="1">
      <alignment horizontal="left" vertical="center"/>
    </xf>
    <xf numFmtId="0" fontId="11" fillId="2" borderId="6" xfId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9" fillId="2" borderId="0" xfId="1" applyFont="1" applyFill="1" applyAlignment="1"/>
    <xf numFmtId="0" fontId="5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</cellXfs>
  <cellStyles count="3">
    <cellStyle name="Звичайний 2" xfId="1"/>
    <cellStyle name="Обычный" xfId="0" builtinId="0"/>
    <cellStyle name="Фінансов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6"/>
  <sheetViews>
    <sheetView tabSelected="1" view="pageBreakPreview" topLeftCell="A145" zoomScaleNormal="100" zoomScaleSheetLayoutView="100" workbookViewId="0">
      <selection activeCell="F149" sqref="F149:H152"/>
    </sheetView>
  </sheetViews>
  <sheetFormatPr defaultRowHeight="15.75" x14ac:dyDescent="0.25"/>
  <cols>
    <col min="1" max="1" width="7.28515625" style="56" customWidth="1"/>
    <col min="2" max="2" width="36.28515625" style="65" customWidth="1"/>
    <col min="3" max="3" width="16.28515625" style="56" customWidth="1"/>
    <col min="4" max="4" width="13.28515625" style="56" customWidth="1"/>
    <col min="5" max="5" width="12.42578125" style="56" customWidth="1"/>
    <col min="6" max="6" width="14.85546875" style="56" customWidth="1"/>
    <col min="7" max="7" width="12.5703125" style="62" customWidth="1"/>
    <col min="8" max="8" width="19.7109375" style="62" customWidth="1"/>
    <col min="9" max="9" width="10.5703125" style="3" bestFit="1" customWidth="1"/>
    <col min="10" max="255" width="9.140625" style="3"/>
    <col min="256" max="256" width="7" style="3" customWidth="1"/>
    <col min="257" max="257" width="5.28515625" style="3" customWidth="1"/>
    <col min="258" max="258" width="36.140625" style="3" customWidth="1"/>
    <col min="259" max="259" width="9.140625" style="3"/>
    <col min="260" max="260" width="13.28515625" style="3" customWidth="1"/>
    <col min="261" max="261" width="12.42578125" style="3" customWidth="1"/>
    <col min="262" max="262" width="14.85546875" style="3" customWidth="1"/>
    <col min="263" max="263" width="12.5703125" style="3" customWidth="1"/>
    <col min="264" max="264" width="16.7109375" style="3" customWidth="1"/>
    <col min="265" max="511" width="9.140625" style="3"/>
    <col min="512" max="512" width="7" style="3" customWidth="1"/>
    <col min="513" max="513" width="5.28515625" style="3" customWidth="1"/>
    <col min="514" max="514" width="36.140625" style="3" customWidth="1"/>
    <col min="515" max="515" width="9.140625" style="3"/>
    <col min="516" max="516" width="13.28515625" style="3" customWidth="1"/>
    <col min="517" max="517" width="12.42578125" style="3" customWidth="1"/>
    <col min="518" max="518" width="14.85546875" style="3" customWidth="1"/>
    <col min="519" max="519" width="12.5703125" style="3" customWidth="1"/>
    <col min="520" max="520" width="16.7109375" style="3" customWidth="1"/>
    <col min="521" max="767" width="9.140625" style="3"/>
    <col min="768" max="768" width="7" style="3" customWidth="1"/>
    <col min="769" max="769" width="5.28515625" style="3" customWidth="1"/>
    <col min="770" max="770" width="36.140625" style="3" customWidth="1"/>
    <col min="771" max="771" width="9.140625" style="3"/>
    <col min="772" max="772" width="13.28515625" style="3" customWidth="1"/>
    <col min="773" max="773" width="12.42578125" style="3" customWidth="1"/>
    <col min="774" max="774" width="14.85546875" style="3" customWidth="1"/>
    <col min="775" max="775" width="12.5703125" style="3" customWidth="1"/>
    <col min="776" max="776" width="16.7109375" style="3" customWidth="1"/>
    <col min="777" max="1023" width="9.140625" style="3"/>
    <col min="1024" max="1024" width="7" style="3" customWidth="1"/>
    <col min="1025" max="1025" width="5.28515625" style="3" customWidth="1"/>
    <col min="1026" max="1026" width="36.140625" style="3" customWidth="1"/>
    <col min="1027" max="1027" width="9.140625" style="3"/>
    <col min="1028" max="1028" width="13.28515625" style="3" customWidth="1"/>
    <col min="1029" max="1029" width="12.42578125" style="3" customWidth="1"/>
    <col min="1030" max="1030" width="14.85546875" style="3" customWidth="1"/>
    <col min="1031" max="1031" width="12.5703125" style="3" customWidth="1"/>
    <col min="1032" max="1032" width="16.7109375" style="3" customWidth="1"/>
    <col min="1033" max="1279" width="9.140625" style="3"/>
    <col min="1280" max="1280" width="7" style="3" customWidth="1"/>
    <col min="1281" max="1281" width="5.28515625" style="3" customWidth="1"/>
    <col min="1282" max="1282" width="36.140625" style="3" customWidth="1"/>
    <col min="1283" max="1283" width="9.140625" style="3"/>
    <col min="1284" max="1284" width="13.28515625" style="3" customWidth="1"/>
    <col min="1285" max="1285" width="12.42578125" style="3" customWidth="1"/>
    <col min="1286" max="1286" width="14.85546875" style="3" customWidth="1"/>
    <col min="1287" max="1287" width="12.5703125" style="3" customWidth="1"/>
    <col min="1288" max="1288" width="16.7109375" style="3" customWidth="1"/>
    <col min="1289" max="1535" width="9.140625" style="3"/>
    <col min="1536" max="1536" width="7" style="3" customWidth="1"/>
    <col min="1537" max="1537" width="5.28515625" style="3" customWidth="1"/>
    <col min="1538" max="1538" width="36.140625" style="3" customWidth="1"/>
    <col min="1539" max="1539" width="9.140625" style="3"/>
    <col min="1540" max="1540" width="13.28515625" style="3" customWidth="1"/>
    <col min="1541" max="1541" width="12.42578125" style="3" customWidth="1"/>
    <col min="1542" max="1542" width="14.85546875" style="3" customWidth="1"/>
    <col min="1543" max="1543" width="12.5703125" style="3" customWidth="1"/>
    <col min="1544" max="1544" width="16.7109375" style="3" customWidth="1"/>
    <col min="1545" max="1791" width="9.140625" style="3"/>
    <col min="1792" max="1792" width="7" style="3" customWidth="1"/>
    <col min="1793" max="1793" width="5.28515625" style="3" customWidth="1"/>
    <col min="1794" max="1794" width="36.140625" style="3" customWidth="1"/>
    <col min="1795" max="1795" width="9.140625" style="3"/>
    <col min="1796" max="1796" width="13.28515625" style="3" customWidth="1"/>
    <col min="1797" max="1797" width="12.42578125" style="3" customWidth="1"/>
    <col min="1798" max="1798" width="14.85546875" style="3" customWidth="1"/>
    <col min="1799" max="1799" width="12.5703125" style="3" customWidth="1"/>
    <col min="1800" max="1800" width="16.7109375" style="3" customWidth="1"/>
    <col min="1801" max="2047" width="9.140625" style="3"/>
    <col min="2048" max="2048" width="7" style="3" customWidth="1"/>
    <col min="2049" max="2049" width="5.28515625" style="3" customWidth="1"/>
    <col min="2050" max="2050" width="36.140625" style="3" customWidth="1"/>
    <col min="2051" max="2051" width="9.140625" style="3"/>
    <col min="2052" max="2052" width="13.28515625" style="3" customWidth="1"/>
    <col min="2053" max="2053" width="12.42578125" style="3" customWidth="1"/>
    <col min="2054" max="2054" width="14.85546875" style="3" customWidth="1"/>
    <col min="2055" max="2055" width="12.5703125" style="3" customWidth="1"/>
    <col min="2056" max="2056" width="16.7109375" style="3" customWidth="1"/>
    <col min="2057" max="2303" width="9.140625" style="3"/>
    <col min="2304" max="2304" width="7" style="3" customWidth="1"/>
    <col min="2305" max="2305" width="5.28515625" style="3" customWidth="1"/>
    <col min="2306" max="2306" width="36.140625" style="3" customWidth="1"/>
    <col min="2307" max="2307" width="9.140625" style="3"/>
    <col min="2308" max="2308" width="13.28515625" style="3" customWidth="1"/>
    <col min="2309" max="2309" width="12.42578125" style="3" customWidth="1"/>
    <col min="2310" max="2310" width="14.85546875" style="3" customWidth="1"/>
    <col min="2311" max="2311" width="12.5703125" style="3" customWidth="1"/>
    <col min="2312" max="2312" width="16.7109375" style="3" customWidth="1"/>
    <col min="2313" max="2559" width="9.140625" style="3"/>
    <col min="2560" max="2560" width="7" style="3" customWidth="1"/>
    <col min="2561" max="2561" width="5.28515625" style="3" customWidth="1"/>
    <col min="2562" max="2562" width="36.140625" style="3" customWidth="1"/>
    <col min="2563" max="2563" width="9.140625" style="3"/>
    <col min="2564" max="2564" width="13.28515625" style="3" customWidth="1"/>
    <col min="2565" max="2565" width="12.42578125" style="3" customWidth="1"/>
    <col min="2566" max="2566" width="14.85546875" style="3" customWidth="1"/>
    <col min="2567" max="2567" width="12.5703125" style="3" customWidth="1"/>
    <col min="2568" max="2568" width="16.7109375" style="3" customWidth="1"/>
    <col min="2569" max="2815" width="9.140625" style="3"/>
    <col min="2816" max="2816" width="7" style="3" customWidth="1"/>
    <col min="2817" max="2817" width="5.28515625" style="3" customWidth="1"/>
    <col min="2818" max="2818" width="36.140625" style="3" customWidth="1"/>
    <col min="2819" max="2819" width="9.140625" style="3"/>
    <col min="2820" max="2820" width="13.28515625" style="3" customWidth="1"/>
    <col min="2821" max="2821" width="12.42578125" style="3" customWidth="1"/>
    <col min="2822" max="2822" width="14.85546875" style="3" customWidth="1"/>
    <col min="2823" max="2823" width="12.5703125" style="3" customWidth="1"/>
    <col min="2824" max="2824" width="16.7109375" style="3" customWidth="1"/>
    <col min="2825" max="3071" width="9.140625" style="3"/>
    <col min="3072" max="3072" width="7" style="3" customWidth="1"/>
    <col min="3073" max="3073" width="5.28515625" style="3" customWidth="1"/>
    <col min="3074" max="3074" width="36.140625" style="3" customWidth="1"/>
    <col min="3075" max="3075" width="9.140625" style="3"/>
    <col min="3076" max="3076" width="13.28515625" style="3" customWidth="1"/>
    <col min="3077" max="3077" width="12.42578125" style="3" customWidth="1"/>
    <col min="3078" max="3078" width="14.85546875" style="3" customWidth="1"/>
    <col min="3079" max="3079" width="12.5703125" style="3" customWidth="1"/>
    <col min="3080" max="3080" width="16.7109375" style="3" customWidth="1"/>
    <col min="3081" max="3327" width="9.140625" style="3"/>
    <col min="3328" max="3328" width="7" style="3" customWidth="1"/>
    <col min="3329" max="3329" width="5.28515625" style="3" customWidth="1"/>
    <col min="3330" max="3330" width="36.140625" style="3" customWidth="1"/>
    <col min="3331" max="3331" width="9.140625" style="3"/>
    <col min="3332" max="3332" width="13.28515625" style="3" customWidth="1"/>
    <col min="3333" max="3333" width="12.42578125" style="3" customWidth="1"/>
    <col min="3334" max="3334" width="14.85546875" style="3" customWidth="1"/>
    <col min="3335" max="3335" width="12.5703125" style="3" customWidth="1"/>
    <col min="3336" max="3336" width="16.7109375" style="3" customWidth="1"/>
    <col min="3337" max="3583" width="9.140625" style="3"/>
    <col min="3584" max="3584" width="7" style="3" customWidth="1"/>
    <col min="3585" max="3585" width="5.28515625" style="3" customWidth="1"/>
    <col min="3586" max="3586" width="36.140625" style="3" customWidth="1"/>
    <col min="3587" max="3587" width="9.140625" style="3"/>
    <col min="3588" max="3588" width="13.28515625" style="3" customWidth="1"/>
    <col min="3589" max="3589" width="12.42578125" style="3" customWidth="1"/>
    <col min="3590" max="3590" width="14.85546875" style="3" customWidth="1"/>
    <col min="3591" max="3591" width="12.5703125" style="3" customWidth="1"/>
    <col min="3592" max="3592" width="16.7109375" style="3" customWidth="1"/>
    <col min="3593" max="3839" width="9.140625" style="3"/>
    <col min="3840" max="3840" width="7" style="3" customWidth="1"/>
    <col min="3841" max="3841" width="5.28515625" style="3" customWidth="1"/>
    <col min="3842" max="3842" width="36.140625" style="3" customWidth="1"/>
    <col min="3843" max="3843" width="9.140625" style="3"/>
    <col min="3844" max="3844" width="13.28515625" style="3" customWidth="1"/>
    <col min="3845" max="3845" width="12.42578125" style="3" customWidth="1"/>
    <col min="3846" max="3846" width="14.85546875" style="3" customWidth="1"/>
    <col min="3847" max="3847" width="12.5703125" style="3" customWidth="1"/>
    <col min="3848" max="3848" width="16.7109375" style="3" customWidth="1"/>
    <col min="3849" max="4095" width="9.140625" style="3"/>
    <col min="4096" max="4096" width="7" style="3" customWidth="1"/>
    <col min="4097" max="4097" width="5.28515625" style="3" customWidth="1"/>
    <col min="4098" max="4098" width="36.140625" style="3" customWidth="1"/>
    <col min="4099" max="4099" width="9.140625" style="3"/>
    <col min="4100" max="4100" width="13.28515625" style="3" customWidth="1"/>
    <col min="4101" max="4101" width="12.42578125" style="3" customWidth="1"/>
    <col min="4102" max="4102" width="14.85546875" style="3" customWidth="1"/>
    <col min="4103" max="4103" width="12.5703125" style="3" customWidth="1"/>
    <col min="4104" max="4104" width="16.7109375" style="3" customWidth="1"/>
    <col min="4105" max="4351" width="9.140625" style="3"/>
    <col min="4352" max="4352" width="7" style="3" customWidth="1"/>
    <col min="4353" max="4353" width="5.28515625" style="3" customWidth="1"/>
    <col min="4354" max="4354" width="36.140625" style="3" customWidth="1"/>
    <col min="4355" max="4355" width="9.140625" style="3"/>
    <col min="4356" max="4356" width="13.28515625" style="3" customWidth="1"/>
    <col min="4357" max="4357" width="12.42578125" style="3" customWidth="1"/>
    <col min="4358" max="4358" width="14.85546875" style="3" customWidth="1"/>
    <col min="4359" max="4359" width="12.5703125" style="3" customWidth="1"/>
    <col min="4360" max="4360" width="16.7109375" style="3" customWidth="1"/>
    <col min="4361" max="4607" width="9.140625" style="3"/>
    <col min="4608" max="4608" width="7" style="3" customWidth="1"/>
    <col min="4609" max="4609" width="5.28515625" style="3" customWidth="1"/>
    <col min="4610" max="4610" width="36.140625" style="3" customWidth="1"/>
    <col min="4611" max="4611" width="9.140625" style="3"/>
    <col min="4612" max="4612" width="13.28515625" style="3" customWidth="1"/>
    <col min="4613" max="4613" width="12.42578125" style="3" customWidth="1"/>
    <col min="4614" max="4614" width="14.85546875" style="3" customWidth="1"/>
    <col min="4615" max="4615" width="12.5703125" style="3" customWidth="1"/>
    <col min="4616" max="4616" width="16.7109375" style="3" customWidth="1"/>
    <col min="4617" max="4863" width="9.140625" style="3"/>
    <col min="4864" max="4864" width="7" style="3" customWidth="1"/>
    <col min="4865" max="4865" width="5.28515625" style="3" customWidth="1"/>
    <col min="4866" max="4866" width="36.140625" style="3" customWidth="1"/>
    <col min="4867" max="4867" width="9.140625" style="3"/>
    <col min="4868" max="4868" width="13.28515625" style="3" customWidth="1"/>
    <col min="4869" max="4869" width="12.42578125" style="3" customWidth="1"/>
    <col min="4870" max="4870" width="14.85546875" style="3" customWidth="1"/>
    <col min="4871" max="4871" width="12.5703125" style="3" customWidth="1"/>
    <col min="4872" max="4872" width="16.7109375" style="3" customWidth="1"/>
    <col min="4873" max="5119" width="9.140625" style="3"/>
    <col min="5120" max="5120" width="7" style="3" customWidth="1"/>
    <col min="5121" max="5121" width="5.28515625" style="3" customWidth="1"/>
    <col min="5122" max="5122" width="36.140625" style="3" customWidth="1"/>
    <col min="5123" max="5123" width="9.140625" style="3"/>
    <col min="5124" max="5124" width="13.28515625" style="3" customWidth="1"/>
    <col min="5125" max="5125" width="12.42578125" style="3" customWidth="1"/>
    <col min="5126" max="5126" width="14.85546875" style="3" customWidth="1"/>
    <col min="5127" max="5127" width="12.5703125" style="3" customWidth="1"/>
    <col min="5128" max="5128" width="16.7109375" style="3" customWidth="1"/>
    <col min="5129" max="5375" width="9.140625" style="3"/>
    <col min="5376" max="5376" width="7" style="3" customWidth="1"/>
    <col min="5377" max="5377" width="5.28515625" style="3" customWidth="1"/>
    <col min="5378" max="5378" width="36.140625" style="3" customWidth="1"/>
    <col min="5379" max="5379" width="9.140625" style="3"/>
    <col min="5380" max="5380" width="13.28515625" style="3" customWidth="1"/>
    <col min="5381" max="5381" width="12.42578125" style="3" customWidth="1"/>
    <col min="5382" max="5382" width="14.85546875" style="3" customWidth="1"/>
    <col min="5383" max="5383" width="12.5703125" style="3" customWidth="1"/>
    <col min="5384" max="5384" width="16.7109375" style="3" customWidth="1"/>
    <col min="5385" max="5631" width="9.140625" style="3"/>
    <col min="5632" max="5632" width="7" style="3" customWidth="1"/>
    <col min="5633" max="5633" width="5.28515625" style="3" customWidth="1"/>
    <col min="5634" max="5634" width="36.140625" style="3" customWidth="1"/>
    <col min="5635" max="5635" width="9.140625" style="3"/>
    <col min="5636" max="5636" width="13.28515625" style="3" customWidth="1"/>
    <col min="5637" max="5637" width="12.42578125" style="3" customWidth="1"/>
    <col min="5638" max="5638" width="14.85546875" style="3" customWidth="1"/>
    <col min="5639" max="5639" width="12.5703125" style="3" customWidth="1"/>
    <col min="5640" max="5640" width="16.7109375" style="3" customWidth="1"/>
    <col min="5641" max="5887" width="9.140625" style="3"/>
    <col min="5888" max="5888" width="7" style="3" customWidth="1"/>
    <col min="5889" max="5889" width="5.28515625" style="3" customWidth="1"/>
    <col min="5890" max="5890" width="36.140625" style="3" customWidth="1"/>
    <col min="5891" max="5891" width="9.140625" style="3"/>
    <col min="5892" max="5892" width="13.28515625" style="3" customWidth="1"/>
    <col min="5893" max="5893" width="12.42578125" style="3" customWidth="1"/>
    <col min="5894" max="5894" width="14.85546875" style="3" customWidth="1"/>
    <col min="5895" max="5895" width="12.5703125" style="3" customWidth="1"/>
    <col min="5896" max="5896" width="16.7109375" style="3" customWidth="1"/>
    <col min="5897" max="6143" width="9.140625" style="3"/>
    <col min="6144" max="6144" width="7" style="3" customWidth="1"/>
    <col min="6145" max="6145" width="5.28515625" style="3" customWidth="1"/>
    <col min="6146" max="6146" width="36.140625" style="3" customWidth="1"/>
    <col min="6147" max="6147" width="9.140625" style="3"/>
    <col min="6148" max="6148" width="13.28515625" style="3" customWidth="1"/>
    <col min="6149" max="6149" width="12.42578125" style="3" customWidth="1"/>
    <col min="6150" max="6150" width="14.85546875" style="3" customWidth="1"/>
    <col min="6151" max="6151" width="12.5703125" style="3" customWidth="1"/>
    <col min="6152" max="6152" width="16.7109375" style="3" customWidth="1"/>
    <col min="6153" max="6399" width="9.140625" style="3"/>
    <col min="6400" max="6400" width="7" style="3" customWidth="1"/>
    <col min="6401" max="6401" width="5.28515625" style="3" customWidth="1"/>
    <col min="6402" max="6402" width="36.140625" style="3" customWidth="1"/>
    <col min="6403" max="6403" width="9.140625" style="3"/>
    <col min="6404" max="6404" width="13.28515625" style="3" customWidth="1"/>
    <col min="6405" max="6405" width="12.42578125" style="3" customWidth="1"/>
    <col min="6406" max="6406" width="14.85546875" style="3" customWidth="1"/>
    <col min="6407" max="6407" width="12.5703125" style="3" customWidth="1"/>
    <col min="6408" max="6408" width="16.7109375" style="3" customWidth="1"/>
    <col min="6409" max="6655" width="9.140625" style="3"/>
    <col min="6656" max="6656" width="7" style="3" customWidth="1"/>
    <col min="6657" max="6657" width="5.28515625" style="3" customWidth="1"/>
    <col min="6658" max="6658" width="36.140625" style="3" customWidth="1"/>
    <col min="6659" max="6659" width="9.140625" style="3"/>
    <col min="6660" max="6660" width="13.28515625" style="3" customWidth="1"/>
    <col min="6661" max="6661" width="12.42578125" style="3" customWidth="1"/>
    <col min="6662" max="6662" width="14.85546875" style="3" customWidth="1"/>
    <col min="6663" max="6663" width="12.5703125" style="3" customWidth="1"/>
    <col min="6664" max="6664" width="16.7109375" style="3" customWidth="1"/>
    <col min="6665" max="6911" width="9.140625" style="3"/>
    <col min="6912" max="6912" width="7" style="3" customWidth="1"/>
    <col min="6913" max="6913" width="5.28515625" style="3" customWidth="1"/>
    <col min="6914" max="6914" width="36.140625" style="3" customWidth="1"/>
    <col min="6915" max="6915" width="9.140625" style="3"/>
    <col min="6916" max="6916" width="13.28515625" style="3" customWidth="1"/>
    <col min="6917" max="6917" width="12.42578125" style="3" customWidth="1"/>
    <col min="6918" max="6918" width="14.85546875" style="3" customWidth="1"/>
    <col min="6919" max="6919" width="12.5703125" style="3" customWidth="1"/>
    <col min="6920" max="6920" width="16.7109375" style="3" customWidth="1"/>
    <col min="6921" max="7167" width="9.140625" style="3"/>
    <col min="7168" max="7168" width="7" style="3" customWidth="1"/>
    <col min="7169" max="7169" width="5.28515625" style="3" customWidth="1"/>
    <col min="7170" max="7170" width="36.140625" style="3" customWidth="1"/>
    <col min="7171" max="7171" width="9.140625" style="3"/>
    <col min="7172" max="7172" width="13.28515625" style="3" customWidth="1"/>
    <col min="7173" max="7173" width="12.42578125" style="3" customWidth="1"/>
    <col min="7174" max="7174" width="14.85546875" style="3" customWidth="1"/>
    <col min="7175" max="7175" width="12.5703125" style="3" customWidth="1"/>
    <col min="7176" max="7176" width="16.7109375" style="3" customWidth="1"/>
    <col min="7177" max="7423" width="9.140625" style="3"/>
    <col min="7424" max="7424" width="7" style="3" customWidth="1"/>
    <col min="7425" max="7425" width="5.28515625" style="3" customWidth="1"/>
    <col min="7426" max="7426" width="36.140625" style="3" customWidth="1"/>
    <col min="7427" max="7427" width="9.140625" style="3"/>
    <col min="7428" max="7428" width="13.28515625" style="3" customWidth="1"/>
    <col min="7429" max="7429" width="12.42578125" style="3" customWidth="1"/>
    <col min="7430" max="7430" width="14.85546875" style="3" customWidth="1"/>
    <col min="7431" max="7431" width="12.5703125" style="3" customWidth="1"/>
    <col min="7432" max="7432" width="16.7109375" style="3" customWidth="1"/>
    <col min="7433" max="7679" width="9.140625" style="3"/>
    <col min="7680" max="7680" width="7" style="3" customWidth="1"/>
    <col min="7681" max="7681" width="5.28515625" style="3" customWidth="1"/>
    <col min="7682" max="7682" width="36.140625" style="3" customWidth="1"/>
    <col min="7683" max="7683" width="9.140625" style="3"/>
    <col min="7684" max="7684" width="13.28515625" style="3" customWidth="1"/>
    <col min="7685" max="7685" width="12.42578125" style="3" customWidth="1"/>
    <col min="7686" max="7686" width="14.85546875" style="3" customWidth="1"/>
    <col min="7687" max="7687" width="12.5703125" style="3" customWidth="1"/>
    <col min="7688" max="7688" width="16.7109375" style="3" customWidth="1"/>
    <col min="7689" max="7935" width="9.140625" style="3"/>
    <col min="7936" max="7936" width="7" style="3" customWidth="1"/>
    <col min="7937" max="7937" width="5.28515625" style="3" customWidth="1"/>
    <col min="7938" max="7938" width="36.140625" style="3" customWidth="1"/>
    <col min="7939" max="7939" width="9.140625" style="3"/>
    <col min="7940" max="7940" width="13.28515625" style="3" customWidth="1"/>
    <col min="7941" max="7941" width="12.42578125" style="3" customWidth="1"/>
    <col min="7942" max="7942" width="14.85546875" style="3" customWidth="1"/>
    <col min="7943" max="7943" width="12.5703125" style="3" customWidth="1"/>
    <col min="7944" max="7944" width="16.7109375" style="3" customWidth="1"/>
    <col min="7945" max="8191" width="9.140625" style="3"/>
    <col min="8192" max="8192" width="7" style="3" customWidth="1"/>
    <col min="8193" max="8193" width="5.28515625" style="3" customWidth="1"/>
    <col min="8194" max="8194" width="36.140625" style="3" customWidth="1"/>
    <col min="8195" max="8195" width="9.140625" style="3"/>
    <col min="8196" max="8196" width="13.28515625" style="3" customWidth="1"/>
    <col min="8197" max="8197" width="12.42578125" style="3" customWidth="1"/>
    <col min="8198" max="8198" width="14.85546875" style="3" customWidth="1"/>
    <col min="8199" max="8199" width="12.5703125" style="3" customWidth="1"/>
    <col min="8200" max="8200" width="16.7109375" style="3" customWidth="1"/>
    <col min="8201" max="8447" width="9.140625" style="3"/>
    <col min="8448" max="8448" width="7" style="3" customWidth="1"/>
    <col min="8449" max="8449" width="5.28515625" style="3" customWidth="1"/>
    <col min="8450" max="8450" width="36.140625" style="3" customWidth="1"/>
    <col min="8451" max="8451" width="9.140625" style="3"/>
    <col min="8452" max="8452" width="13.28515625" style="3" customWidth="1"/>
    <col min="8453" max="8453" width="12.42578125" style="3" customWidth="1"/>
    <col min="8454" max="8454" width="14.85546875" style="3" customWidth="1"/>
    <col min="8455" max="8455" width="12.5703125" style="3" customWidth="1"/>
    <col min="8456" max="8456" width="16.7109375" style="3" customWidth="1"/>
    <col min="8457" max="8703" width="9.140625" style="3"/>
    <col min="8704" max="8704" width="7" style="3" customWidth="1"/>
    <col min="8705" max="8705" width="5.28515625" style="3" customWidth="1"/>
    <col min="8706" max="8706" width="36.140625" style="3" customWidth="1"/>
    <col min="8707" max="8707" width="9.140625" style="3"/>
    <col min="8708" max="8708" width="13.28515625" style="3" customWidth="1"/>
    <col min="8709" max="8709" width="12.42578125" style="3" customWidth="1"/>
    <col min="8710" max="8710" width="14.85546875" style="3" customWidth="1"/>
    <col min="8711" max="8711" width="12.5703125" style="3" customWidth="1"/>
    <col min="8712" max="8712" width="16.7109375" style="3" customWidth="1"/>
    <col min="8713" max="8959" width="9.140625" style="3"/>
    <col min="8960" max="8960" width="7" style="3" customWidth="1"/>
    <col min="8961" max="8961" width="5.28515625" style="3" customWidth="1"/>
    <col min="8962" max="8962" width="36.140625" style="3" customWidth="1"/>
    <col min="8963" max="8963" width="9.140625" style="3"/>
    <col min="8964" max="8964" width="13.28515625" style="3" customWidth="1"/>
    <col min="8965" max="8965" width="12.42578125" style="3" customWidth="1"/>
    <col min="8966" max="8966" width="14.85546875" style="3" customWidth="1"/>
    <col min="8967" max="8967" width="12.5703125" style="3" customWidth="1"/>
    <col min="8968" max="8968" width="16.7109375" style="3" customWidth="1"/>
    <col min="8969" max="9215" width="9.140625" style="3"/>
    <col min="9216" max="9216" width="7" style="3" customWidth="1"/>
    <col min="9217" max="9217" width="5.28515625" style="3" customWidth="1"/>
    <col min="9218" max="9218" width="36.140625" style="3" customWidth="1"/>
    <col min="9219" max="9219" width="9.140625" style="3"/>
    <col min="9220" max="9220" width="13.28515625" style="3" customWidth="1"/>
    <col min="9221" max="9221" width="12.42578125" style="3" customWidth="1"/>
    <col min="9222" max="9222" width="14.85546875" style="3" customWidth="1"/>
    <col min="9223" max="9223" width="12.5703125" style="3" customWidth="1"/>
    <col min="9224" max="9224" width="16.7109375" style="3" customWidth="1"/>
    <col min="9225" max="9471" width="9.140625" style="3"/>
    <col min="9472" max="9472" width="7" style="3" customWidth="1"/>
    <col min="9473" max="9473" width="5.28515625" style="3" customWidth="1"/>
    <col min="9474" max="9474" width="36.140625" style="3" customWidth="1"/>
    <col min="9475" max="9475" width="9.140625" style="3"/>
    <col min="9476" max="9476" width="13.28515625" style="3" customWidth="1"/>
    <col min="9477" max="9477" width="12.42578125" style="3" customWidth="1"/>
    <col min="9478" max="9478" width="14.85546875" style="3" customWidth="1"/>
    <col min="9479" max="9479" width="12.5703125" style="3" customWidth="1"/>
    <col min="9480" max="9480" width="16.7109375" style="3" customWidth="1"/>
    <col min="9481" max="9727" width="9.140625" style="3"/>
    <col min="9728" max="9728" width="7" style="3" customWidth="1"/>
    <col min="9729" max="9729" width="5.28515625" style="3" customWidth="1"/>
    <col min="9730" max="9730" width="36.140625" style="3" customWidth="1"/>
    <col min="9731" max="9731" width="9.140625" style="3"/>
    <col min="9732" max="9732" width="13.28515625" style="3" customWidth="1"/>
    <col min="9733" max="9733" width="12.42578125" style="3" customWidth="1"/>
    <col min="9734" max="9734" width="14.85546875" style="3" customWidth="1"/>
    <col min="9735" max="9735" width="12.5703125" style="3" customWidth="1"/>
    <col min="9736" max="9736" width="16.7109375" style="3" customWidth="1"/>
    <col min="9737" max="9983" width="9.140625" style="3"/>
    <col min="9984" max="9984" width="7" style="3" customWidth="1"/>
    <col min="9985" max="9985" width="5.28515625" style="3" customWidth="1"/>
    <col min="9986" max="9986" width="36.140625" style="3" customWidth="1"/>
    <col min="9987" max="9987" width="9.140625" style="3"/>
    <col min="9988" max="9988" width="13.28515625" style="3" customWidth="1"/>
    <col min="9989" max="9989" width="12.42578125" style="3" customWidth="1"/>
    <col min="9990" max="9990" width="14.85546875" style="3" customWidth="1"/>
    <col min="9991" max="9991" width="12.5703125" style="3" customWidth="1"/>
    <col min="9992" max="9992" width="16.7109375" style="3" customWidth="1"/>
    <col min="9993" max="10239" width="9.140625" style="3"/>
    <col min="10240" max="10240" width="7" style="3" customWidth="1"/>
    <col min="10241" max="10241" width="5.28515625" style="3" customWidth="1"/>
    <col min="10242" max="10242" width="36.140625" style="3" customWidth="1"/>
    <col min="10243" max="10243" width="9.140625" style="3"/>
    <col min="10244" max="10244" width="13.28515625" style="3" customWidth="1"/>
    <col min="10245" max="10245" width="12.42578125" style="3" customWidth="1"/>
    <col min="10246" max="10246" width="14.85546875" style="3" customWidth="1"/>
    <col min="10247" max="10247" width="12.5703125" style="3" customWidth="1"/>
    <col min="10248" max="10248" width="16.7109375" style="3" customWidth="1"/>
    <col min="10249" max="10495" width="9.140625" style="3"/>
    <col min="10496" max="10496" width="7" style="3" customWidth="1"/>
    <col min="10497" max="10497" width="5.28515625" style="3" customWidth="1"/>
    <col min="10498" max="10498" width="36.140625" style="3" customWidth="1"/>
    <col min="10499" max="10499" width="9.140625" style="3"/>
    <col min="10500" max="10500" width="13.28515625" style="3" customWidth="1"/>
    <col min="10501" max="10501" width="12.42578125" style="3" customWidth="1"/>
    <col min="10502" max="10502" width="14.85546875" style="3" customWidth="1"/>
    <col min="10503" max="10503" width="12.5703125" style="3" customWidth="1"/>
    <col min="10504" max="10504" width="16.7109375" style="3" customWidth="1"/>
    <col min="10505" max="10751" width="9.140625" style="3"/>
    <col min="10752" max="10752" width="7" style="3" customWidth="1"/>
    <col min="10753" max="10753" width="5.28515625" style="3" customWidth="1"/>
    <col min="10754" max="10754" width="36.140625" style="3" customWidth="1"/>
    <col min="10755" max="10755" width="9.140625" style="3"/>
    <col min="10756" max="10756" width="13.28515625" style="3" customWidth="1"/>
    <col min="10757" max="10757" width="12.42578125" style="3" customWidth="1"/>
    <col min="10758" max="10758" width="14.85546875" style="3" customWidth="1"/>
    <col min="10759" max="10759" width="12.5703125" style="3" customWidth="1"/>
    <col min="10760" max="10760" width="16.7109375" style="3" customWidth="1"/>
    <col min="10761" max="11007" width="9.140625" style="3"/>
    <col min="11008" max="11008" width="7" style="3" customWidth="1"/>
    <col min="11009" max="11009" width="5.28515625" style="3" customWidth="1"/>
    <col min="11010" max="11010" width="36.140625" style="3" customWidth="1"/>
    <col min="11011" max="11011" width="9.140625" style="3"/>
    <col min="11012" max="11012" width="13.28515625" style="3" customWidth="1"/>
    <col min="11013" max="11013" width="12.42578125" style="3" customWidth="1"/>
    <col min="11014" max="11014" width="14.85546875" style="3" customWidth="1"/>
    <col min="11015" max="11015" width="12.5703125" style="3" customWidth="1"/>
    <col min="11016" max="11016" width="16.7109375" style="3" customWidth="1"/>
    <col min="11017" max="11263" width="9.140625" style="3"/>
    <col min="11264" max="11264" width="7" style="3" customWidth="1"/>
    <col min="11265" max="11265" width="5.28515625" style="3" customWidth="1"/>
    <col min="11266" max="11266" width="36.140625" style="3" customWidth="1"/>
    <col min="11267" max="11267" width="9.140625" style="3"/>
    <col min="11268" max="11268" width="13.28515625" style="3" customWidth="1"/>
    <col min="11269" max="11269" width="12.42578125" style="3" customWidth="1"/>
    <col min="11270" max="11270" width="14.85546875" style="3" customWidth="1"/>
    <col min="11271" max="11271" width="12.5703125" style="3" customWidth="1"/>
    <col min="11272" max="11272" width="16.7109375" style="3" customWidth="1"/>
    <col min="11273" max="11519" width="9.140625" style="3"/>
    <col min="11520" max="11520" width="7" style="3" customWidth="1"/>
    <col min="11521" max="11521" width="5.28515625" style="3" customWidth="1"/>
    <col min="11522" max="11522" width="36.140625" style="3" customWidth="1"/>
    <col min="11523" max="11523" width="9.140625" style="3"/>
    <col min="11524" max="11524" width="13.28515625" style="3" customWidth="1"/>
    <col min="11525" max="11525" width="12.42578125" style="3" customWidth="1"/>
    <col min="11526" max="11526" width="14.85546875" style="3" customWidth="1"/>
    <col min="11527" max="11527" width="12.5703125" style="3" customWidth="1"/>
    <col min="11528" max="11528" width="16.7109375" style="3" customWidth="1"/>
    <col min="11529" max="11775" width="9.140625" style="3"/>
    <col min="11776" max="11776" width="7" style="3" customWidth="1"/>
    <col min="11777" max="11777" width="5.28515625" style="3" customWidth="1"/>
    <col min="11778" max="11778" width="36.140625" style="3" customWidth="1"/>
    <col min="11779" max="11779" width="9.140625" style="3"/>
    <col min="11780" max="11780" width="13.28515625" style="3" customWidth="1"/>
    <col min="11781" max="11781" width="12.42578125" style="3" customWidth="1"/>
    <col min="11782" max="11782" width="14.85546875" style="3" customWidth="1"/>
    <col min="11783" max="11783" width="12.5703125" style="3" customWidth="1"/>
    <col min="11784" max="11784" width="16.7109375" style="3" customWidth="1"/>
    <col min="11785" max="12031" width="9.140625" style="3"/>
    <col min="12032" max="12032" width="7" style="3" customWidth="1"/>
    <col min="12033" max="12033" width="5.28515625" style="3" customWidth="1"/>
    <col min="12034" max="12034" width="36.140625" style="3" customWidth="1"/>
    <col min="12035" max="12035" width="9.140625" style="3"/>
    <col min="12036" max="12036" width="13.28515625" style="3" customWidth="1"/>
    <col min="12037" max="12037" width="12.42578125" style="3" customWidth="1"/>
    <col min="12038" max="12038" width="14.85546875" style="3" customWidth="1"/>
    <col min="12039" max="12039" width="12.5703125" style="3" customWidth="1"/>
    <col min="12040" max="12040" width="16.7109375" style="3" customWidth="1"/>
    <col min="12041" max="12287" width="9.140625" style="3"/>
    <col min="12288" max="12288" width="7" style="3" customWidth="1"/>
    <col min="12289" max="12289" width="5.28515625" style="3" customWidth="1"/>
    <col min="12290" max="12290" width="36.140625" style="3" customWidth="1"/>
    <col min="12291" max="12291" width="9.140625" style="3"/>
    <col min="12292" max="12292" width="13.28515625" style="3" customWidth="1"/>
    <col min="12293" max="12293" width="12.42578125" style="3" customWidth="1"/>
    <col min="12294" max="12294" width="14.85546875" style="3" customWidth="1"/>
    <col min="12295" max="12295" width="12.5703125" style="3" customWidth="1"/>
    <col min="12296" max="12296" width="16.7109375" style="3" customWidth="1"/>
    <col min="12297" max="12543" width="9.140625" style="3"/>
    <col min="12544" max="12544" width="7" style="3" customWidth="1"/>
    <col min="12545" max="12545" width="5.28515625" style="3" customWidth="1"/>
    <col min="12546" max="12546" width="36.140625" style="3" customWidth="1"/>
    <col min="12547" max="12547" width="9.140625" style="3"/>
    <col min="12548" max="12548" width="13.28515625" style="3" customWidth="1"/>
    <col min="12549" max="12549" width="12.42578125" style="3" customWidth="1"/>
    <col min="12550" max="12550" width="14.85546875" style="3" customWidth="1"/>
    <col min="12551" max="12551" width="12.5703125" style="3" customWidth="1"/>
    <col min="12552" max="12552" width="16.7109375" style="3" customWidth="1"/>
    <col min="12553" max="12799" width="9.140625" style="3"/>
    <col min="12800" max="12800" width="7" style="3" customWidth="1"/>
    <col min="12801" max="12801" width="5.28515625" style="3" customWidth="1"/>
    <col min="12802" max="12802" width="36.140625" style="3" customWidth="1"/>
    <col min="12803" max="12803" width="9.140625" style="3"/>
    <col min="12804" max="12804" width="13.28515625" style="3" customWidth="1"/>
    <col min="12805" max="12805" width="12.42578125" style="3" customWidth="1"/>
    <col min="12806" max="12806" width="14.85546875" style="3" customWidth="1"/>
    <col min="12807" max="12807" width="12.5703125" style="3" customWidth="1"/>
    <col min="12808" max="12808" width="16.7109375" style="3" customWidth="1"/>
    <col min="12809" max="13055" width="9.140625" style="3"/>
    <col min="13056" max="13056" width="7" style="3" customWidth="1"/>
    <col min="13057" max="13057" width="5.28515625" style="3" customWidth="1"/>
    <col min="13058" max="13058" width="36.140625" style="3" customWidth="1"/>
    <col min="13059" max="13059" width="9.140625" style="3"/>
    <col min="13060" max="13060" width="13.28515625" style="3" customWidth="1"/>
    <col min="13061" max="13061" width="12.42578125" style="3" customWidth="1"/>
    <col min="13062" max="13062" width="14.85546875" style="3" customWidth="1"/>
    <col min="13063" max="13063" width="12.5703125" style="3" customWidth="1"/>
    <col min="13064" max="13064" width="16.7109375" style="3" customWidth="1"/>
    <col min="13065" max="13311" width="9.140625" style="3"/>
    <col min="13312" max="13312" width="7" style="3" customWidth="1"/>
    <col min="13313" max="13313" width="5.28515625" style="3" customWidth="1"/>
    <col min="13314" max="13314" width="36.140625" style="3" customWidth="1"/>
    <col min="13315" max="13315" width="9.140625" style="3"/>
    <col min="13316" max="13316" width="13.28515625" style="3" customWidth="1"/>
    <col min="13317" max="13317" width="12.42578125" style="3" customWidth="1"/>
    <col min="13318" max="13318" width="14.85546875" style="3" customWidth="1"/>
    <col min="13319" max="13319" width="12.5703125" style="3" customWidth="1"/>
    <col min="13320" max="13320" width="16.7109375" style="3" customWidth="1"/>
    <col min="13321" max="13567" width="9.140625" style="3"/>
    <col min="13568" max="13568" width="7" style="3" customWidth="1"/>
    <col min="13569" max="13569" width="5.28515625" style="3" customWidth="1"/>
    <col min="13570" max="13570" width="36.140625" style="3" customWidth="1"/>
    <col min="13571" max="13571" width="9.140625" style="3"/>
    <col min="13572" max="13572" width="13.28515625" style="3" customWidth="1"/>
    <col min="13573" max="13573" width="12.42578125" style="3" customWidth="1"/>
    <col min="13574" max="13574" width="14.85546875" style="3" customWidth="1"/>
    <col min="13575" max="13575" width="12.5703125" style="3" customWidth="1"/>
    <col min="13576" max="13576" width="16.7109375" style="3" customWidth="1"/>
    <col min="13577" max="13823" width="9.140625" style="3"/>
    <col min="13824" max="13824" width="7" style="3" customWidth="1"/>
    <col min="13825" max="13825" width="5.28515625" style="3" customWidth="1"/>
    <col min="13826" max="13826" width="36.140625" style="3" customWidth="1"/>
    <col min="13827" max="13827" width="9.140625" style="3"/>
    <col min="13828" max="13828" width="13.28515625" style="3" customWidth="1"/>
    <col min="13829" max="13829" width="12.42578125" style="3" customWidth="1"/>
    <col min="13830" max="13830" width="14.85546875" style="3" customWidth="1"/>
    <col min="13831" max="13831" width="12.5703125" style="3" customWidth="1"/>
    <col min="13832" max="13832" width="16.7109375" style="3" customWidth="1"/>
    <col min="13833" max="14079" width="9.140625" style="3"/>
    <col min="14080" max="14080" width="7" style="3" customWidth="1"/>
    <col min="14081" max="14081" width="5.28515625" style="3" customWidth="1"/>
    <col min="14082" max="14082" width="36.140625" style="3" customWidth="1"/>
    <col min="14083" max="14083" width="9.140625" style="3"/>
    <col min="14084" max="14084" width="13.28515625" style="3" customWidth="1"/>
    <col min="14085" max="14085" width="12.42578125" style="3" customWidth="1"/>
    <col min="14086" max="14086" width="14.85546875" style="3" customWidth="1"/>
    <col min="14087" max="14087" width="12.5703125" style="3" customWidth="1"/>
    <col min="14088" max="14088" width="16.7109375" style="3" customWidth="1"/>
    <col min="14089" max="14335" width="9.140625" style="3"/>
    <col min="14336" max="14336" width="7" style="3" customWidth="1"/>
    <col min="14337" max="14337" width="5.28515625" style="3" customWidth="1"/>
    <col min="14338" max="14338" width="36.140625" style="3" customWidth="1"/>
    <col min="14339" max="14339" width="9.140625" style="3"/>
    <col min="14340" max="14340" width="13.28515625" style="3" customWidth="1"/>
    <col min="14341" max="14341" width="12.42578125" style="3" customWidth="1"/>
    <col min="14342" max="14342" width="14.85546875" style="3" customWidth="1"/>
    <col min="14343" max="14343" width="12.5703125" style="3" customWidth="1"/>
    <col min="14344" max="14344" width="16.7109375" style="3" customWidth="1"/>
    <col min="14345" max="14591" width="9.140625" style="3"/>
    <col min="14592" max="14592" width="7" style="3" customWidth="1"/>
    <col min="14593" max="14593" width="5.28515625" style="3" customWidth="1"/>
    <col min="14594" max="14594" width="36.140625" style="3" customWidth="1"/>
    <col min="14595" max="14595" width="9.140625" style="3"/>
    <col min="14596" max="14596" width="13.28515625" style="3" customWidth="1"/>
    <col min="14597" max="14597" width="12.42578125" style="3" customWidth="1"/>
    <col min="14598" max="14598" width="14.85546875" style="3" customWidth="1"/>
    <col min="14599" max="14599" width="12.5703125" style="3" customWidth="1"/>
    <col min="14600" max="14600" width="16.7109375" style="3" customWidth="1"/>
    <col min="14601" max="14847" width="9.140625" style="3"/>
    <col min="14848" max="14848" width="7" style="3" customWidth="1"/>
    <col min="14849" max="14849" width="5.28515625" style="3" customWidth="1"/>
    <col min="14850" max="14850" width="36.140625" style="3" customWidth="1"/>
    <col min="14851" max="14851" width="9.140625" style="3"/>
    <col min="14852" max="14852" width="13.28515625" style="3" customWidth="1"/>
    <col min="14853" max="14853" width="12.42578125" style="3" customWidth="1"/>
    <col min="14854" max="14854" width="14.85546875" style="3" customWidth="1"/>
    <col min="14855" max="14855" width="12.5703125" style="3" customWidth="1"/>
    <col min="14856" max="14856" width="16.7109375" style="3" customWidth="1"/>
    <col min="14857" max="15103" width="9.140625" style="3"/>
    <col min="15104" max="15104" width="7" style="3" customWidth="1"/>
    <col min="15105" max="15105" width="5.28515625" style="3" customWidth="1"/>
    <col min="15106" max="15106" width="36.140625" style="3" customWidth="1"/>
    <col min="15107" max="15107" width="9.140625" style="3"/>
    <col min="15108" max="15108" width="13.28515625" style="3" customWidth="1"/>
    <col min="15109" max="15109" width="12.42578125" style="3" customWidth="1"/>
    <col min="15110" max="15110" width="14.85546875" style="3" customWidth="1"/>
    <col min="15111" max="15111" width="12.5703125" style="3" customWidth="1"/>
    <col min="15112" max="15112" width="16.7109375" style="3" customWidth="1"/>
    <col min="15113" max="15359" width="9.140625" style="3"/>
    <col min="15360" max="15360" width="7" style="3" customWidth="1"/>
    <col min="15361" max="15361" width="5.28515625" style="3" customWidth="1"/>
    <col min="15362" max="15362" width="36.140625" style="3" customWidth="1"/>
    <col min="15363" max="15363" width="9.140625" style="3"/>
    <col min="15364" max="15364" width="13.28515625" style="3" customWidth="1"/>
    <col min="15365" max="15365" width="12.42578125" style="3" customWidth="1"/>
    <col min="15366" max="15366" width="14.85546875" style="3" customWidth="1"/>
    <col min="15367" max="15367" width="12.5703125" style="3" customWidth="1"/>
    <col min="15368" max="15368" width="16.7109375" style="3" customWidth="1"/>
    <col min="15369" max="15615" width="9.140625" style="3"/>
    <col min="15616" max="15616" width="7" style="3" customWidth="1"/>
    <col min="15617" max="15617" width="5.28515625" style="3" customWidth="1"/>
    <col min="15618" max="15618" width="36.140625" style="3" customWidth="1"/>
    <col min="15619" max="15619" width="9.140625" style="3"/>
    <col min="15620" max="15620" width="13.28515625" style="3" customWidth="1"/>
    <col min="15621" max="15621" width="12.42578125" style="3" customWidth="1"/>
    <col min="15622" max="15622" width="14.85546875" style="3" customWidth="1"/>
    <col min="15623" max="15623" width="12.5703125" style="3" customWidth="1"/>
    <col min="15624" max="15624" width="16.7109375" style="3" customWidth="1"/>
    <col min="15625" max="15871" width="9.140625" style="3"/>
    <col min="15872" max="15872" width="7" style="3" customWidth="1"/>
    <col min="15873" max="15873" width="5.28515625" style="3" customWidth="1"/>
    <col min="15874" max="15874" width="36.140625" style="3" customWidth="1"/>
    <col min="15875" max="15875" width="9.140625" style="3"/>
    <col min="15876" max="15876" width="13.28515625" style="3" customWidth="1"/>
    <col min="15877" max="15877" width="12.42578125" style="3" customWidth="1"/>
    <col min="15878" max="15878" width="14.85546875" style="3" customWidth="1"/>
    <col min="15879" max="15879" width="12.5703125" style="3" customWidth="1"/>
    <col min="15880" max="15880" width="16.7109375" style="3" customWidth="1"/>
    <col min="15881" max="16127" width="9.140625" style="3"/>
    <col min="16128" max="16128" width="7" style="3" customWidth="1"/>
    <col min="16129" max="16129" width="5.28515625" style="3" customWidth="1"/>
    <col min="16130" max="16130" width="36.140625" style="3" customWidth="1"/>
    <col min="16131" max="16131" width="9.140625" style="3"/>
    <col min="16132" max="16132" width="13.28515625" style="3" customWidth="1"/>
    <col min="16133" max="16133" width="12.42578125" style="3" customWidth="1"/>
    <col min="16134" max="16134" width="14.85546875" style="3" customWidth="1"/>
    <col min="16135" max="16135" width="12.5703125" style="3" customWidth="1"/>
    <col min="16136" max="16136" width="16.7109375" style="3" customWidth="1"/>
    <col min="16137" max="16384" width="9.140625" style="3"/>
  </cols>
  <sheetData>
    <row r="1" spans="1:9" ht="18.75" x14ac:dyDescent="0.3">
      <c r="A1" s="1"/>
      <c r="B1" s="1"/>
      <c r="C1" s="1"/>
      <c r="D1" s="1"/>
      <c r="E1" s="1"/>
      <c r="F1" s="147" t="s">
        <v>0</v>
      </c>
      <c r="G1" s="147"/>
      <c r="H1" s="147"/>
      <c r="I1" s="2"/>
    </row>
    <row r="2" spans="1:9" s="6" customFormat="1" ht="15.75" customHeight="1" x14ac:dyDescent="0.25">
      <c r="A2" s="4"/>
      <c r="B2" s="121"/>
      <c r="C2" s="4"/>
      <c r="D2" s="5"/>
      <c r="E2" s="5"/>
      <c r="F2" s="137" t="s">
        <v>1</v>
      </c>
      <c r="G2" s="137"/>
      <c r="H2" s="137"/>
    </row>
    <row r="3" spans="1:9" s="6" customFormat="1" ht="15.75" customHeight="1" x14ac:dyDescent="0.25">
      <c r="A3" s="4"/>
      <c r="B3" s="121"/>
      <c r="C3" s="120"/>
      <c r="D3" s="5"/>
      <c r="E3" s="5"/>
      <c r="F3" s="137" t="s">
        <v>193</v>
      </c>
      <c r="G3" s="137"/>
      <c r="H3" s="137"/>
    </row>
    <row r="4" spans="1:9" s="6" customFormat="1" ht="15.75" customHeight="1" x14ac:dyDescent="0.25">
      <c r="A4" s="4"/>
      <c r="B4" s="120"/>
      <c r="C4" s="120"/>
      <c r="D4" s="7"/>
      <c r="E4" s="7"/>
      <c r="F4" s="137" t="s">
        <v>2</v>
      </c>
      <c r="G4" s="137"/>
      <c r="H4" s="137"/>
    </row>
    <row r="5" spans="1:9" ht="51.75" customHeight="1" x14ac:dyDescent="0.3">
      <c r="A5" s="8"/>
      <c r="B5" s="120"/>
      <c r="C5" s="9"/>
      <c r="D5" s="10"/>
      <c r="E5" s="10"/>
      <c r="F5" s="137" t="s">
        <v>196</v>
      </c>
      <c r="G5" s="137"/>
      <c r="H5" s="137"/>
    </row>
    <row r="6" spans="1:9" ht="36" customHeight="1" x14ac:dyDescent="0.3">
      <c r="A6" s="8"/>
      <c r="B6" s="122"/>
      <c r="C6" s="9"/>
      <c r="D6" s="10"/>
      <c r="E6" s="10"/>
      <c r="F6" s="137" t="s">
        <v>197</v>
      </c>
      <c r="G6" s="137"/>
      <c r="H6" s="137"/>
    </row>
    <row r="7" spans="1:9" ht="18.75" customHeight="1" x14ac:dyDescent="0.3">
      <c r="A7" s="8"/>
      <c r="B7" s="9"/>
      <c r="C7" s="9"/>
      <c r="D7" s="5"/>
      <c r="E7" s="5"/>
      <c r="F7" s="137" t="s">
        <v>198</v>
      </c>
      <c r="G7" s="137"/>
      <c r="H7" s="137"/>
    </row>
    <row r="8" spans="1:9" ht="18.75" x14ac:dyDescent="0.3">
      <c r="A8" s="8"/>
      <c r="B8" s="9"/>
      <c r="C8" s="9"/>
      <c r="D8" s="9"/>
      <c r="E8" s="11"/>
      <c r="F8" s="12"/>
      <c r="G8" s="12"/>
      <c r="H8" s="13"/>
    </row>
    <row r="9" spans="1:9" ht="18.75" x14ac:dyDescent="0.3">
      <c r="A9" s="138" t="s">
        <v>3</v>
      </c>
      <c r="B9" s="138"/>
      <c r="C9" s="138"/>
      <c r="D9" s="138"/>
      <c r="E9" s="138"/>
      <c r="F9" s="138"/>
      <c r="G9" s="139"/>
      <c r="H9" s="139"/>
    </row>
    <row r="10" spans="1:9" ht="18.75" x14ac:dyDescent="0.3">
      <c r="A10" s="14"/>
      <c r="B10" s="14"/>
      <c r="C10" s="14"/>
      <c r="D10" s="14"/>
      <c r="E10" s="14"/>
      <c r="F10" s="14"/>
      <c r="G10" s="15"/>
      <c r="H10" s="15"/>
    </row>
    <row r="11" spans="1:9" x14ac:dyDescent="0.25">
      <c r="A11" s="140" t="s">
        <v>199</v>
      </c>
      <c r="B11" s="141"/>
      <c r="C11" s="141"/>
      <c r="D11" s="141"/>
      <c r="E11" s="141"/>
      <c r="F11" s="141"/>
      <c r="G11" s="141"/>
      <c r="H11" s="142"/>
    </row>
    <row r="12" spans="1:9" ht="15" customHeight="1" x14ac:dyDescent="0.25">
      <c r="A12" s="143" t="s">
        <v>4</v>
      </c>
      <c r="B12" s="145" t="s">
        <v>5</v>
      </c>
      <c r="C12" s="145" t="s">
        <v>6</v>
      </c>
      <c r="D12" s="145" t="s">
        <v>7</v>
      </c>
      <c r="E12" s="145" t="s">
        <v>8</v>
      </c>
      <c r="F12" s="153"/>
      <c r="G12" s="153"/>
      <c r="H12" s="153"/>
    </row>
    <row r="13" spans="1:9" ht="15" customHeight="1" x14ac:dyDescent="0.25">
      <c r="A13" s="144"/>
      <c r="B13" s="145"/>
      <c r="C13" s="145"/>
      <c r="D13" s="145"/>
      <c r="E13" s="145"/>
      <c r="F13" s="154"/>
      <c r="G13" s="154"/>
      <c r="H13" s="154"/>
    </row>
    <row r="14" spans="1:9" ht="15" customHeight="1" x14ac:dyDescent="0.25">
      <c r="A14" s="144"/>
      <c r="B14" s="145"/>
      <c r="C14" s="145"/>
      <c r="D14" s="145"/>
      <c r="E14" s="145"/>
      <c r="F14" s="154"/>
      <c r="G14" s="154"/>
      <c r="H14" s="154"/>
    </row>
    <row r="15" spans="1:9" ht="15" customHeight="1" x14ac:dyDescent="0.25">
      <c r="A15" s="144"/>
      <c r="B15" s="145"/>
      <c r="C15" s="145"/>
      <c r="D15" s="145"/>
      <c r="E15" s="145"/>
      <c r="F15" s="154"/>
      <c r="G15" s="154"/>
      <c r="H15" s="154"/>
    </row>
    <row r="16" spans="1:9" ht="15" customHeight="1" x14ac:dyDescent="0.25">
      <c r="A16" s="144"/>
      <c r="B16" s="145"/>
      <c r="C16" s="145"/>
      <c r="D16" s="145"/>
      <c r="E16" s="145"/>
      <c r="F16" s="154"/>
      <c r="G16" s="154"/>
      <c r="H16" s="154"/>
    </row>
    <row r="17" spans="1:8" ht="3.75" customHeight="1" x14ac:dyDescent="0.25">
      <c r="A17" s="144"/>
      <c r="B17" s="145"/>
      <c r="C17" s="145"/>
      <c r="D17" s="145"/>
      <c r="E17" s="145"/>
      <c r="F17" s="155"/>
      <c r="G17" s="155"/>
      <c r="H17" s="155"/>
    </row>
    <row r="18" spans="1:8" x14ac:dyDescent="0.25">
      <c r="A18" s="16">
        <v>1</v>
      </c>
      <c r="B18" s="17">
        <v>2</v>
      </c>
      <c r="C18" s="18">
        <v>3</v>
      </c>
      <c r="D18" s="17">
        <v>4</v>
      </c>
      <c r="E18" s="18">
        <v>5</v>
      </c>
      <c r="F18" s="17"/>
      <c r="G18" s="19"/>
      <c r="H18" s="20"/>
    </row>
    <row r="19" spans="1:8" ht="17.25" customHeight="1" x14ac:dyDescent="0.25">
      <c r="A19" s="21" t="s">
        <v>9</v>
      </c>
      <c r="B19" s="146" t="s">
        <v>10</v>
      </c>
      <c r="C19" s="135"/>
      <c r="D19" s="135"/>
      <c r="E19" s="135"/>
      <c r="F19" s="135"/>
      <c r="G19" s="135"/>
      <c r="H19" s="136"/>
    </row>
    <row r="20" spans="1:8" x14ac:dyDescent="0.25">
      <c r="A20" s="16"/>
      <c r="B20" s="22" t="s">
        <v>11</v>
      </c>
      <c r="C20" s="16" t="s">
        <v>12</v>
      </c>
      <c r="D20" s="16">
        <f>Лист1!E7</f>
        <v>1</v>
      </c>
      <c r="E20" s="18"/>
      <c r="F20" s="23"/>
      <c r="G20" s="25"/>
      <c r="H20" s="25"/>
    </row>
    <row r="21" spans="1:8" x14ac:dyDescent="0.25">
      <c r="A21" s="16"/>
      <c r="B21" s="22" t="s">
        <v>13</v>
      </c>
      <c r="C21" s="16" t="s">
        <v>16</v>
      </c>
      <c r="D21" s="16">
        <f>Лист1!E8</f>
        <v>1</v>
      </c>
      <c r="E21" s="18"/>
      <c r="F21" s="23"/>
      <c r="G21" s="24"/>
      <c r="H21" s="25"/>
    </row>
    <row r="22" spans="1:8" x14ac:dyDescent="0.25">
      <c r="A22" s="16"/>
      <c r="B22" s="26" t="s">
        <v>14</v>
      </c>
      <c r="C22" s="16" t="s">
        <v>12</v>
      </c>
      <c r="D22" s="16">
        <f>Лист1!E9</f>
        <v>1</v>
      </c>
      <c r="E22" s="18"/>
      <c r="F22" s="17"/>
      <c r="G22" s="24"/>
      <c r="H22" s="27"/>
    </row>
    <row r="23" spans="1:8" x14ac:dyDescent="0.25">
      <c r="A23" s="16"/>
      <c r="B23" s="26" t="s">
        <v>15</v>
      </c>
      <c r="C23" s="16" t="s">
        <v>18</v>
      </c>
      <c r="D23" s="16">
        <f>Лист1!E10</f>
        <v>1</v>
      </c>
      <c r="E23" s="18"/>
      <c r="F23" s="17"/>
      <c r="G23" s="24"/>
      <c r="H23" s="27"/>
    </row>
    <row r="24" spans="1:8" x14ac:dyDescent="0.25">
      <c r="A24" s="16"/>
      <c r="B24" s="22" t="s">
        <v>17</v>
      </c>
      <c r="C24" s="16" t="s">
        <v>18</v>
      </c>
      <c r="D24" s="16">
        <f>Лист1!E11</f>
        <v>1</v>
      </c>
      <c r="E24" s="18"/>
      <c r="F24" s="17"/>
      <c r="G24" s="24"/>
      <c r="H24" s="27"/>
    </row>
    <row r="25" spans="1:8" x14ac:dyDescent="0.25">
      <c r="A25" s="16"/>
      <c r="B25" s="22" t="s">
        <v>19</v>
      </c>
      <c r="C25" s="16">
        <v>3423</v>
      </c>
      <c r="D25" s="16">
        <f>Лист1!E12</f>
        <v>1</v>
      </c>
      <c r="E25" s="18"/>
      <c r="F25" s="17"/>
      <c r="G25" s="24"/>
      <c r="H25" s="27"/>
    </row>
    <row r="26" spans="1:8" ht="16.5" customHeight="1" x14ac:dyDescent="0.25">
      <c r="A26" s="16"/>
      <c r="B26" s="22" t="s">
        <v>20</v>
      </c>
      <c r="C26" s="16" t="s">
        <v>21</v>
      </c>
      <c r="D26" s="16">
        <f>Лист1!E13</f>
        <v>1</v>
      </c>
      <c r="E26" s="18"/>
      <c r="F26" s="17"/>
      <c r="G26" s="24"/>
      <c r="H26" s="27"/>
    </row>
    <row r="27" spans="1:8" ht="16.5" customHeight="1" x14ac:dyDescent="0.25">
      <c r="A27" s="16"/>
      <c r="B27" s="26" t="s">
        <v>22</v>
      </c>
      <c r="C27" s="17" t="s">
        <v>23</v>
      </c>
      <c r="D27" s="16">
        <f>Лист1!E14</f>
        <v>1</v>
      </c>
      <c r="E27" s="18"/>
      <c r="F27" s="17"/>
      <c r="G27" s="24"/>
      <c r="H27" s="27"/>
    </row>
    <row r="28" spans="1:8" x14ac:dyDescent="0.25">
      <c r="A28" s="16"/>
      <c r="B28" s="28" t="s">
        <v>24</v>
      </c>
      <c r="C28" s="16">
        <v>4111</v>
      </c>
      <c r="D28" s="16">
        <f>Лист1!E15</f>
        <v>1</v>
      </c>
      <c r="E28" s="18"/>
      <c r="F28" s="17"/>
      <c r="G28" s="24"/>
      <c r="H28" s="27"/>
    </row>
    <row r="29" spans="1:8" s="30" customFormat="1" x14ac:dyDescent="0.25">
      <c r="A29" s="16"/>
      <c r="B29" s="22" t="s">
        <v>25</v>
      </c>
      <c r="C29" s="16"/>
      <c r="D29" s="16">
        <f>SUM(D20:D28)</f>
        <v>9</v>
      </c>
      <c r="E29" s="18"/>
      <c r="F29" s="17"/>
      <c r="G29" s="29"/>
      <c r="H29" s="27"/>
    </row>
    <row r="30" spans="1:8" ht="17.25" customHeight="1" x14ac:dyDescent="0.25">
      <c r="A30" s="21" t="s">
        <v>26</v>
      </c>
      <c r="B30" s="146" t="s">
        <v>27</v>
      </c>
      <c r="C30" s="135"/>
      <c r="D30" s="135"/>
      <c r="E30" s="135"/>
      <c r="F30" s="135"/>
      <c r="G30" s="135"/>
      <c r="H30" s="136"/>
    </row>
    <row r="31" spans="1:8" x14ac:dyDescent="0.25">
      <c r="A31" s="16"/>
      <c r="B31" s="31" t="s">
        <v>28</v>
      </c>
      <c r="C31" s="16" t="s">
        <v>29</v>
      </c>
      <c r="D31" s="16">
        <f>Лист1!E18</f>
        <v>1</v>
      </c>
      <c r="E31" s="18"/>
      <c r="F31" s="17"/>
      <c r="G31" s="29"/>
      <c r="H31" s="27"/>
    </row>
    <row r="32" spans="1:8" x14ac:dyDescent="0.25">
      <c r="A32" s="16"/>
      <c r="B32" s="31" t="s">
        <v>30</v>
      </c>
      <c r="C32" s="16" t="s">
        <v>21</v>
      </c>
      <c r="D32" s="16">
        <f>Лист1!E19</f>
        <v>1</v>
      </c>
      <c r="E32" s="18"/>
      <c r="F32" s="17"/>
      <c r="G32" s="29"/>
      <c r="H32" s="27"/>
    </row>
    <row r="33" spans="1:9" s="30" customFormat="1" x14ac:dyDescent="0.25">
      <c r="A33" s="16"/>
      <c r="B33" s="31" t="s">
        <v>31</v>
      </c>
      <c r="C33" s="16" t="s">
        <v>21</v>
      </c>
      <c r="D33" s="16">
        <f>Лист1!E20</f>
        <v>1</v>
      </c>
      <c r="E33" s="18"/>
      <c r="F33" s="17"/>
      <c r="G33" s="29"/>
      <c r="H33" s="27"/>
      <c r="I33" s="3"/>
    </row>
    <row r="34" spans="1:9" ht="15.75" customHeight="1" x14ac:dyDescent="0.25">
      <c r="A34" s="16"/>
      <c r="B34" s="31" t="s">
        <v>25</v>
      </c>
      <c r="C34" s="16"/>
      <c r="D34" s="16">
        <f>SUM(D31:D33)</f>
        <v>3</v>
      </c>
      <c r="E34" s="18"/>
      <c r="F34" s="17"/>
      <c r="G34" s="29"/>
      <c r="H34" s="27"/>
    </row>
    <row r="35" spans="1:9" ht="16.5" customHeight="1" x14ac:dyDescent="0.25">
      <c r="A35" s="21" t="s">
        <v>32</v>
      </c>
      <c r="B35" s="125" t="s">
        <v>33</v>
      </c>
      <c r="C35" s="135"/>
      <c r="D35" s="135"/>
      <c r="E35" s="135"/>
      <c r="F35" s="135"/>
      <c r="G35" s="135"/>
      <c r="H35" s="136"/>
    </row>
    <row r="36" spans="1:9" ht="15.75" customHeight="1" x14ac:dyDescent="0.25">
      <c r="A36" s="16"/>
      <c r="B36" s="32" t="s">
        <v>34</v>
      </c>
      <c r="C36" s="16">
        <v>1231</v>
      </c>
      <c r="D36" s="16">
        <f>Лист1!E23</f>
        <v>1</v>
      </c>
      <c r="E36" s="16"/>
      <c r="F36" s="17"/>
      <c r="G36" s="33"/>
      <c r="H36" s="27"/>
    </row>
    <row r="37" spans="1:9" s="30" customFormat="1" x14ac:dyDescent="0.25">
      <c r="A37" s="16"/>
      <c r="B37" s="31" t="s">
        <v>35</v>
      </c>
      <c r="C37" s="16" t="s">
        <v>36</v>
      </c>
      <c r="D37" s="16">
        <f>Лист1!E24</f>
        <v>1</v>
      </c>
      <c r="E37" s="16"/>
      <c r="F37" s="17"/>
      <c r="G37" s="33"/>
      <c r="H37" s="27"/>
      <c r="I37" s="3"/>
    </row>
    <row r="38" spans="1:9" ht="17.25" customHeight="1" x14ac:dyDescent="0.25">
      <c r="A38" s="16"/>
      <c r="B38" s="31" t="s">
        <v>25</v>
      </c>
      <c r="C38" s="16"/>
      <c r="D38" s="16">
        <f>SUM(D36:D37)</f>
        <v>2</v>
      </c>
      <c r="E38" s="16"/>
      <c r="F38" s="17"/>
      <c r="G38" s="34"/>
      <c r="H38" s="27"/>
    </row>
    <row r="39" spans="1:9" x14ac:dyDescent="0.25">
      <c r="A39" s="21" t="s">
        <v>37</v>
      </c>
      <c r="B39" s="125" t="s">
        <v>38</v>
      </c>
      <c r="C39" s="135"/>
      <c r="D39" s="135"/>
      <c r="E39" s="135"/>
      <c r="F39" s="135"/>
      <c r="G39" s="135"/>
      <c r="H39" s="136"/>
    </row>
    <row r="40" spans="1:9" x14ac:dyDescent="0.25">
      <c r="A40" s="16"/>
      <c r="B40" s="31" t="s">
        <v>28</v>
      </c>
      <c r="C40" s="16" t="s">
        <v>29</v>
      </c>
      <c r="D40" s="16">
        <f>Лист1!E27</f>
        <v>1</v>
      </c>
      <c r="E40" s="18"/>
      <c r="F40" s="17"/>
      <c r="G40" s="29"/>
      <c r="H40" s="27"/>
    </row>
    <row r="41" spans="1:9" s="35" customFormat="1" ht="31.5" x14ac:dyDescent="0.25">
      <c r="A41" s="16"/>
      <c r="B41" s="32" t="s">
        <v>39</v>
      </c>
      <c r="C41" s="16" t="str">
        <f>C40</f>
        <v>1221.2</v>
      </c>
      <c r="D41" s="16">
        <f>Лист1!E28</f>
        <v>1</v>
      </c>
      <c r="E41" s="18"/>
      <c r="F41" s="17"/>
      <c r="G41" s="29"/>
      <c r="H41" s="27"/>
      <c r="I41" s="3"/>
    </row>
    <row r="42" spans="1:9" ht="16.5" customHeight="1" x14ac:dyDescent="0.25">
      <c r="A42" s="16"/>
      <c r="B42" s="32" t="s">
        <v>40</v>
      </c>
      <c r="C42" s="16" t="s">
        <v>41</v>
      </c>
      <c r="D42" s="16">
        <f>Лист1!E29</f>
        <v>1</v>
      </c>
      <c r="E42" s="18"/>
      <c r="F42" s="17"/>
      <c r="G42" s="29"/>
      <c r="H42" s="27"/>
      <c r="I42" s="35"/>
    </row>
    <row r="43" spans="1:9" ht="31.5" customHeight="1" x14ac:dyDescent="0.25">
      <c r="A43" s="16"/>
      <c r="B43" s="26" t="s">
        <v>42</v>
      </c>
      <c r="C43" s="16" t="s">
        <v>43</v>
      </c>
      <c r="D43" s="16">
        <f>Лист1!E30</f>
        <v>1</v>
      </c>
      <c r="E43" s="18"/>
      <c r="F43" s="17"/>
      <c r="G43" s="29"/>
      <c r="H43" s="27"/>
    </row>
    <row r="44" spans="1:9" ht="48" customHeight="1" x14ac:dyDescent="0.25">
      <c r="A44" s="16"/>
      <c r="B44" s="26" t="s">
        <v>183</v>
      </c>
      <c r="C44" s="16">
        <v>3439</v>
      </c>
      <c r="D44" s="16">
        <f>Лист1!E31</f>
        <v>3</v>
      </c>
      <c r="E44" s="18"/>
      <c r="F44" s="17"/>
      <c r="G44" s="29"/>
      <c r="H44" s="27"/>
    </row>
    <row r="45" spans="1:9" x14ac:dyDescent="0.25">
      <c r="A45" s="16"/>
      <c r="B45" s="36" t="s">
        <v>45</v>
      </c>
      <c r="C45" s="37">
        <v>4112</v>
      </c>
      <c r="D45" s="16">
        <f>Лист1!E32</f>
        <v>2</v>
      </c>
      <c r="E45" s="19"/>
      <c r="F45" s="20"/>
      <c r="G45" s="29"/>
      <c r="H45" s="27"/>
    </row>
    <row r="46" spans="1:9" ht="31.5" x14ac:dyDescent="0.25">
      <c r="A46" s="16"/>
      <c r="B46" s="38" t="s">
        <v>46</v>
      </c>
      <c r="C46" s="37">
        <v>7136</v>
      </c>
      <c r="D46" s="16">
        <f>Лист1!E33</f>
        <v>11</v>
      </c>
      <c r="E46" s="37">
        <f>Лист1!F33</f>
        <v>3</v>
      </c>
      <c r="F46" s="39"/>
      <c r="G46" s="29"/>
      <c r="H46" s="27"/>
    </row>
    <row r="47" spans="1:9" x14ac:dyDescent="0.25">
      <c r="A47" s="16"/>
      <c r="B47" s="26" t="s">
        <v>25</v>
      </c>
      <c r="C47" s="16"/>
      <c r="D47" s="16">
        <f>SUM(D40:D46)</f>
        <v>20</v>
      </c>
      <c r="E47" s="16"/>
      <c r="F47" s="40"/>
      <c r="G47" s="33"/>
      <c r="H47" s="27"/>
    </row>
    <row r="48" spans="1:9" ht="15.75" customHeight="1" x14ac:dyDescent="0.25">
      <c r="A48" s="41" t="s">
        <v>48</v>
      </c>
      <c r="B48" s="132" t="s">
        <v>49</v>
      </c>
      <c r="C48" s="133"/>
      <c r="D48" s="133"/>
      <c r="E48" s="133"/>
      <c r="F48" s="133"/>
      <c r="G48" s="133"/>
      <c r="H48" s="134"/>
    </row>
    <row r="49" spans="1:9" ht="16.5" customHeight="1" x14ac:dyDescent="0.25">
      <c r="A49" s="42"/>
      <c r="B49" s="31" t="s">
        <v>50</v>
      </c>
      <c r="C49" s="16" t="s">
        <v>41</v>
      </c>
      <c r="D49" s="16">
        <f>Лист1!E35</f>
        <v>2</v>
      </c>
      <c r="E49" s="43"/>
      <c r="F49" s="43"/>
      <c r="G49" s="33"/>
      <c r="H49" s="33"/>
    </row>
    <row r="50" spans="1:9" s="30" customFormat="1" x14ac:dyDescent="0.25">
      <c r="A50" s="42"/>
      <c r="B50" s="26" t="s">
        <v>51</v>
      </c>
      <c r="C50" s="16">
        <v>7136</v>
      </c>
      <c r="D50" s="16">
        <f>Лист1!E36</f>
        <v>6</v>
      </c>
      <c r="E50" s="16">
        <f>Лист1!F36</f>
        <v>4</v>
      </c>
      <c r="F50" s="40"/>
      <c r="G50" s="33"/>
      <c r="H50" s="27"/>
      <c r="I50" s="3"/>
    </row>
    <row r="51" spans="1:9" s="30" customFormat="1" x14ac:dyDescent="0.25">
      <c r="A51" s="42"/>
      <c r="B51" s="22" t="s">
        <v>25</v>
      </c>
      <c r="C51" s="16"/>
      <c r="D51" s="16">
        <f>SUM(D49:D50)</f>
        <v>8</v>
      </c>
      <c r="E51" s="16"/>
      <c r="F51" s="16"/>
      <c r="G51" s="33"/>
      <c r="H51" s="33"/>
      <c r="I51" s="44"/>
    </row>
    <row r="52" spans="1:9" x14ac:dyDescent="0.25">
      <c r="A52" s="16"/>
      <c r="B52" s="31" t="s">
        <v>52</v>
      </c>
      <c r="C52" s="16"/>
      <c r="D52" s="16">
        <f>SUM(D47+D51)</f>
        <v>28</v>
      </c>
      <c r="E52" s="18"/>
      <c r="F52" s="17"/>
      <c r="G52" s="29"/>
      <c r="H52" s="45"/>
    </row>
    <row r="53" spans="1:9" x14ac:dyDescent="0.25">
      <c r="A53" s="21" t="s">
        <v>53</v>
      </c>
      <c r="B53" s="125" t="s">
        <v>54</v>
      </c>
      <c r="C53" s="126"/>
      <c r="D53" s="126"/>
      <c r="E53" s="126"/>
      <c r="F53" s="126"/>
      <c r="G53" s="126"/>
      <c r="H53" s="127"/>
    </row>
    <row r="54" spans="1:9" x14ac:dyDescent="0.25">
      <c r="A54" s="16"/>
      <c r="B54" s="22" t="s">
        <v>55</v>
      </c>
      <c r="C54" s="16">
        <v>1231</v>
      </c>
      <c r="D54" s="16">
        <f>Лист1!E39</f>
        <v>1</v>
      </c>
      <c r="E54" s="18"/>
      <c r="F54" s="17"/>
      <c r="G54" s="29"/>
      <c r="H54" s="27"/>
    </row>
    <row r="55" spans="1:9" s="30" customFormat="1" x14ac:dyDescent="0.25">
      <c r="A55" s="16"/>
      <c r="B55" s="31" t="s">
        <v>44</v>
      </c>
      <c r="C55" s="16">
        <v>3433</v>
      </c>
      <c r="D55" s="16">
        <f>Лист1!E40</f>
        <v>3</v>
      </c>
      <c r="E55" s="18"/>
      <c r="F55" s="17"/>
      <c r="G55" s="29"/>
      <c r="H55" s="27"/>
      <c r="I55" s="3"/>
    </row>
    <row r="56" spans="1:9" x14ac:dyDescent="0.25">
      <c r="A56" s="16"/>
      <c r="B56" s="31" t="s">
        <v>25</v>
      </c>
      <c r="C56" s="16"/>
      <c r="D56" s="16">
        <f>D54+D55</f>
        <v>4</v>
      </c>
      <c r="E56" s="18"/>
      <c r="F56" s="17"/>
      <c r="G56" s="29"/>
      <c r="H56" s="45"/>
      <c r="I56" s="30"/>
    </row>
    <row r="57" spans="1:9" x14ac:dyDescent="0.25">
      <c r="A57" s="21" t="s">
        <v>56</v>
      </c>
      <c r="B57" s="125" t="s">
        <v>57</v>
      </c>
      <c r="C57" s="126"/>
      <c r="D57" s="126"/>
      <c r="E57" s="126"/>
      <c r="F57" s="126"/>
      <c r="G57" s="126"/>
      <c r="H57" s="127"/>
    </row>
    <row r="58" spans="1:9" x14ac:dyDescent="0.25">
      <c r="A58" s="16"/>
      <c r="B58" s="31" t="s">
        <v>58</v>
      </c>
      <c r="C58" s="16">
        <v>1231</v>
      </c>
      <c r="D58" s="46">
        <f>Лист1!E43</f>
        <v>1</v>
      </c>
      <c r="E58" s="47"/>
      <c r="F58" s="48"/>
      <c r="G58" s="49"/>
      <c r="H58" s="27"/>
    </row>
    <row r="59" spans="1:9" s="30" customFormat="1" x14ac:dyDescent="0.25">
      <c r="A59" s="16"/>
      <c r="B59" s="31" t="s">
        <v>59</v>
      </c>
      <c r="C59" s="16" t="s">
        <v>60</v>
      </c>
      <c r="D59" s="46">
        <f>Лист1!E44</f>
        <v>1</v>
      </c>
      <c r="E59" s="47"/>
      <c r="F59" s="48"/>
      <c r="G59" s="49"/>
      <c r="H59" s="27"/>
      <c r="I59" s="3"/>
    </row>
    <row r="60" spans="1:9" x14ac:dyDescent="0.25">
      <c r="A60" s="16"/>
      <c r="B60" s="31" t="s">
        <v>25</v>
      </c>
      <c r="C60" s="16"/>
      <c r="D60" s="16">
        <f>D58+D59</f>
        <v>2</v>
      </c>
      <c r="E60" s="18"/>
      <c r="F60" s="17"/>
      <c r="G60" s="29"/>
      <c r="H60" s="33"/>
    </row>
    <row r="61" spans="1:9" ht="18.75" customHeight="1" x14ac:dyDescent="0.25">
      <c r="A61" s="21" t="s">
        <v>61</v>
      </c>
      <c r="B61" s="132" t="s">
        <v>62</v>
      </c>
      <c r="C61" s="133"/>
      <c r="D61" s="133"/>
      <c r="E61" s="133"/>
      <c r="F61" s="133"/>
      <c r="G61" s="133"/>
      <c r="H61" s="134"/>
    </row>
    <row r="62" spans="1:9" s="35" customFormat="1" x14ac:dyDescent="0.25">
      <c r="A62" s="16"/>
      <c r="B62" s="36" t="s">
        <v>40</v>
      </c>
      <c r="C62" s="37" t="s">
        <v>41</v>
      </c>
      <c r="D62" s="37">
        <f>Лист1!E47</f>
        <v>1</v>
      </c>
      <c r="E62" s="50"/>
      <c r="F62" s="50"/>
      <c r="G62" s="33"/>
      <c r="H62" s="33"/>
      <c r="I62" s="3"/>
    </row>
    <row r="63" spans="1:9" s="35" customFormat="1" ht="31.5" x14ac:dyDescent="0.25">
      <c r="A63" s="16"/>
      <c r="B63" s="36" t="s">
        <v>63</v>
      </c>
      <c r="C63" s="37" t="s">
        <v>64</v>
      </c>
      <c r="D63" s="37">
        <f>Лист1!E48</f>
        <v>1</v>
      </c>
      <c r="E63" s="50"/>
      <c r="F63" s="50"/>
      <c r="G63" s="33"/>
      <c r="H63" s="33"/>
      <c r="I63" s="3"/>
    </row>
    <row r="64" spans="1:9" ht="47.25" x14ac:dyDescent="0.25">
      <c r="A64" s="16"/>
      <c r="B64" s="26" t="s">
        <v>65</v>
      </c>
      <c r="C64" s="16">
        <v>7241</v>
      </c>
      <c r="D64" s="37">
        <f>Лист1!E49</f>
        <v>7</v>
      </c>
      <c r="E64" s="16">
        <f>Лист1!F49</f>
        <v>5</v>
      </c>
      <c r="F64" s="51"/>
      <c r="G64" s="33"/>
      <c r="H64" s="33"/>
      <c r="I64" s="35"/>
    </row>
    <row r="65" spans="1:9" ht="47.25" x14ac:dyDescent="0.25">
      <c r="A65" s="16"/>
      <c r="B65" s="26" t="s">
        <v>65</v>
      </c>
      <c r="C65" s="16">
        <v>7241</v>
      </c>
      <c r="D65" s="37">
        <f>Лист1!E50</f>
        <v>1</v>
      </c>
      <c r="E65" s="16">
        <f>Лист1!F50</f>
        <v>4</v>
      </c>
      <c r="F65" s="51"/>
      <c r="G65" s="33"/>
      <c r="H65" s="33"/>
    </row>
    <row r="66" spans="1:9" s="30" customFormat="1" ht="47.25" x14ac:dyDescent="0.25">
      <c r="A66" s="16"/>
      <c r="B66" s="26" t="s">
        <v>65</v>
      </c>
      <c r="C66" s="16">
        <v>7241</v>
      </c>
      <c r="D66" s="37">
        <f>Лист1!E51</f>
        <v>1</v>
      </c>
      <c r="E66" s="16">
        <f>Лист1!F51</f>
        <v>3</v>
      </c>
      <c r="F66" s="51"/>
      <c r="G66" s="33"/>
      <c r="H66" s="33"/>
      <c r="I66" s="3"/>
    </row>
    <row r="67" spans="1:9" x14ac:dyDescent="0.25">
      <c r="A67" s="16"/>
      <c r="B67" s="22" t="s">
        <v>25</v>
      </c>
      <c r="C67" s="16"/>
      <c r="D67" s="16">
        <f>SUM(D62:D66)</f>
        <v>11</v>
      </c>
      <c r="E67" s="16"/>
      <c r="F67" s="16"/>
      <c r="G67" s="33"/>
      <c r="H67" s="33"/>
      <c r="I67" s="30"/>
    </row>
    <row r="68" spans="1:9" x14ac:dyDescent="0.25">
      <c r="A68" s="21" t="s">
        <v>66</v>
      </c>
      <c r="B68" s="125" t="s">
        <v>67</v>
      </c>
      <c r="C68" s="126"/>
      <c r="D68" s="126"/>
      <c r="E68" s="126"/>
      <c r="F68" s="126"/>
      <c r="G68" s="126"/>
      <c r="H68" s="127"/>
    </row>
    <row r="69" spans="1:9" x14ac:dyDescent="0.25">
      <c r="A69" s="21"/>
      <c r="B69" s="111" t="s">
        <v>184</v>
      </c>
      <c r="C69" s="16">
        <v>3119</v>
      </c>
      <c r="D69" s="16">
        <f>Лист1!E54</f>
        <v>1</v>
      </c>
      <c r="E69" s="16"/>
      <c r="F69" s="16"/>
      <c r="G69" s="112"/>
      <c r="H69" s="27"/>
    </row>
    <row r="70" spans="1:9" s="30" customFormat="1" x14ac:dyDescent="0.25">
      <c r="A70" s="16"/>
      <c r="B70" s="23" t="s">
        <v>68</v>
      </c>
      <c r="C70" s="37">
        <v>3119</v>
      </c>
      <c r="D70" s="16">
        <f>Лист1!E55</f>
        <v>3</v>
      </c>
      <c r="E70" s="16"/>
      <c r="F70" s="17"/>
      <c r="G70" s="33"/>
      <c r="H70" s="27"/>
      <c r="I70" s="3"/>
    </row>
    <row r="71" spans="1:9" x14ac:dyDescent="0.25">
      <c r="A71" s="16"/>
      <c r="B71" s="31" t="s">
        <v>25</v>
      </c>
      <c r="C71" s="16"/>
      <c r="D71" s="16">
        <f>D69+D70</f>
        <v>4</v>
      </c>
      <c r="E71" s="16"/>
      <c r="F71" s="17"/>
      <c r="G71" s="33"/>
      <c r="H71" s="27"/>
      <c r="I71" s="30"/>
    </row>
    <row r="72" spans="1:9" x14ac:dyDescent="0.25">
      <c r="A72" s="21" t="s">
        <v>69</v>
      </c>
      <c r="B72" s="125" t="s">
        <v>70</v>
      </c>
      <c r="C72" s="126"/>
      <c r="D72" s="126"/>
      <c r="E72" s="126"/>
      <c r="F72" s="126"/>
      <c r="G72" s="126"/>
      <c r="H72" s="127"/>
    </row>
    <row r="73" spans="1:9" x14ac:dyDescent="0.25">
      <c r="A73" s="16"/>
      <c r="B73" s="31" t="s">
        <v>71</v>
      </c>
      <c r="C73" s="16" t="s">
        <v>72</v>
      </c>
      <c r="D73" s="16">
        <f>Лист1!E58</f>
        <v>1</v>
      </c>
      <c r="E73" s="18"/>
      <c r="F73" s="17"/>
      <c r="G73" s="29"/>
      <c r="H73" s="27"/>
    </row>
    <row r="74" spans="1:9" s="30" customFormat="1" x14ac:dyDescent="0.25">
      <c r="A74" s="16"/>
      <c r="B74" s="32" t="s">
        <v>73</v>
      </c>
      <c r="C74" s="16" t="s">
        <v>74</v>
      </c>
      <c r="D74" s="16">
        <f>Лист1!E59</f>
        <v>1</v>
      </c>
      <c r="E74" s="18"/>
      <c r="F74" s="40"/>
      <c r="G74" s="29"/>
      <c r="H74" s="27"/>
      <c r="I74" s="3"/>
    </row>
    <row r="75" spans="1:9" x14ac:dyDescent="0.25">
      <c r="A75" s="16"/>
      <c r="B75" s="31" t="s">
        <v>25</v>
      </c>
      <c r="C75" s="16"/>
      <c r="D75" s="16">
        <f>D73+D74</f>
        <v>2</v>
      </c>
      <c r="E75" s="18"/>
      <c r="F75" s="17"/>
      <c r="G75" s="29"/>
      <c r="H75" s="27"/>
      <c r="I75" s="30"/>
    </row>
    <row r="76" spans="1:9" x14ac:dyDescent="0.25">
      <c r="A76" s="21" t="s">
        <v>75</v>
      </c>
      <c r="B76" s="125" t="s">
        <v>76</v>
      </c>
      <c r="C76" s="126"/>
      <c r="D76" s="126"/>
      <c r="E76" s="126"/>
      <c r="F76" s="126"/>
      <c r="G76" s="126"/>
      <c r="H76" s="127"/>
    </row>
    <row r="77" spans="1:9" x14ac:dyDescent="0.25">
      <c r="A77" s="16"/>
      <c r="B77" s="31" t="s">
        <v>77</v>
      </c>
      <c r="C77" s="16" t="s">
        <v>41</v>
      </c>
      <c r="D77" s="16">
        <f>Лист1!E62</f>
        <v>1</v>
      </c>
      <c r="E77" s="21"/>
      <c r="F77" s="21"/>
      <c r="G77" s="33"/>
      <c r="H77" s="33"/>
    </row>
    <row r="78" spans="1:9" x14ac:dyDescent="0.25">
      <c r="A78" s="16"/>
      <c r="B78" s="26" t="s">
        <v>78</v>
      </c>
      <c r="C78" s="16">
        <v>8163</v>
      </c>
      <c r="D78" s="16">
        <f>Лист1!E63</f>
        <v>12</v>
      </c>
      <c r="E78" s="16">
        <f>Лист1!F63</f>
        <v>3</v>
      </c>
      <c r="F78" s="51"/>
      <c r="G78" s="33"/>
      <c r="H78" s="33"/>
    </row>
    <row r="79" spans="1:9" s="30" customFormat="1" x14ac:dyDescent="0.25">
      <c r="A79" s="16"/>
      <c r="B79" s="22" t="s">
        <v>79</v>
      </c>
      <c r="C79" s="16">
        <v>9162</v>
      </c>
      <c r="D79" s="16">
        <f>Лист1!E64</f>
        <v>1</v>
      </c>
      <c r="E79" s="16"/>
      <c r="F79" s="51"/>
      <c r="G79" s="33"/>
      <c r="H79" s="33"/>
      <c r="I79" s="3"/>
    </row>
    <row r="80" spans="1:9" x14ac:dyDescent="0.25">
      <c r="A80" s="16"/>
      <c r="B80" s="22" t="s">
        <v>25</v>
      </c>
      <c r="C80" s="16"/>
      <c r="D80" s="16">
        <f>SUM(D77:D79)</f>
        <v>14</v>
      </c>
      <c r="E80" s="16"/>
      <c r="F80" s="16"/>
      <c r="G80" s="33"/>
      <c r="H80" s="33"/>
    </row>
    <row r="81" spans="1:8" x14ac:dyDescent="0.25">
      <c r="A81" s="21" t="s">
        <v>80</v>
      </c>
      <c r="B81" s="125" t="s">
        <v>81</v>
      </c>
      <c r="C81" s="126"/>
      <c r="D81" s="126"/>
      <c r="E81" s="126"/>
      <c r="F81" s="126"/>
      <c r="G81" s="126"/>
      <c r="H81" s="127"/>
    </row>
    <row r="82" spans="1:8" x14ac:dyDescent="0.25">
      <c r="A82" s="16"/>
      <c r="B82" s="31" t="s">
        <v>77</v>
      </c>
      <c r="C82" s="16" t="s">
        <v>41</v>
      </c>
      <c r="D82" s="16">
        <f>Лист1!E67</f>
        <v>1</v>
      </c>
      <c r="E82" s="21"/>
      <c r="F82" s="21"/>
      <c r="G82" s="33"/>
      <c r="H82" s="33"/>
    </row>
    <row r="83" spans="1:8" x14ac:dyDescent="0.25">
      <c r="A83" s="16"/>
      <c r="B83" s="31" t="s">
        <v>82</v>
      </c>
      <c r="C83" s="16" t="s">
        <v>74</v>
      </c>
      <c r="D83" s="16">
        <f>Лист1!E68</f>
        <v>1</v>
      </c>
      <c r="E83" s="21"/>
      <c r="F83" s="21"/>
      <c r="G83" s="33"/>
      <c r="H83" s="33"/>
    </row>
    <row r="84" spans="1:8" x14ac:dyDescent="0.25">
      <c r="A84" s="16"/>
      <c r="B84" s="26" t="s">
        <v>78</v>
      </c>
      <c r="C84" s="16">
        <v>8163</v>
      </c>
      <c r="D84" s="16">
        <f>Лист1!E69</f>
        <v>5</v>
      </c>
      <c r="E84" s="16">
        <f>Лист1!F69</f>
        <v>3</v>
      </c>
      <c r="F84" s="51"/>
      <c r="G84" s="33"/>
      <c r="H84" s="33"/>
    </row>
    <row r="85" spans="1:8" x14ac:dyDescent="0.25">
      <c r="A85" s="16"/>
      <c r="B85" s="38" t="s">
        <v>195</v>
      </c>
      <c r="C85" s="16">
        <v>8163</v>
      </c>
      <c r="D85" s="16">
        <f>Лист1!E70</f>
        <v>4</v>
      </c>
      <c r="E85" s="16">
        <f>Лист1!F70</f>
        <v>3</v>
      </c>
      <c r="F85" s="51"/>
      <c r="G85" s="33"/>
      <c r="H85" s="33"/>
    </row>
    <row r="86" spans="1:8" ht="31.5" x14ac:dyDescent="0.25">
      <c r="A86" s="16"/>
      <c r="B86" s="26" t="s">
        <v>83</v>
      </c>
      <c r="C86" s="16">
        <v>9132</v>
      </c>
      <c r="D86" s="16">
        <f>Лист1!E71</f>
        <v>1</v>
      </c>
      <c r="E86" s="16"/>
      <c r="F86" s="51"/>
      <c r="G86" s="33"/>
      <c r="H86" s="33"/>
    </row>
    <row r="87" spans="1:8" x14ac:dyDescent="0.25">
      <c r="A87" s="16"/>
      <c r="B87" s="22" t="s">
        <v>84</v>
      </c>
      <c r="C87" s="16">
        <v>8211</v>
      </c>
      <c r="D87" s="16">
        <f>Лист1!E72</f>
        <v>1</v>
      </c>
      <c r="E87" s="16">
        <f>Лист1!F72</f>
        <v>6</v>
      </c>
      <c r="F87" s="51"/>
      <c r="G87" s="33"/>
      <c r="H87" s="33"/>
    </row>
    <row r="88" spans="1:8" x14ac:dyDescent="0.25">
      <c r="A88" s="16"/>
      <c r="B88" s="26" t="s">
        <v>85</v>
      </c>
      <c r="C88" s="16">
        <v>7233</v>
      </c>
      <c r="D88" s="16">
        <f>Лист1!E73</f>
        <v>3</v>
      </c>
      <c r="E88" s="16">
        <f>Лист1!F73</f>
        <v>5</v>
      </c>
      <c r="F88" s="51"/>
      <c r="G88" s="33"/>
      <c r="H88" s="33"/>
    </row>
    <row r="89" spans="1:8" x14ac:dyDescent="0.25">
      <c r="A89" s="16"/>
      <c r="B89" s="22" t="s">
        <v>86</v>
      </c>
      <c r="C89" s="16">
        <v>7422</v>
      </c>
      <c r="D89" s="16">
        <f>Лист1!E74</f>
        <v>1</v>
      </c>
      <c r="E89" s="16">
        <f>Лист1!F74</f>
        <v>6</v>
      </c>
      <c r="F89" s="51"/>
      <c r="G89" s="33"/>
      <c r="H89" s="33"/>
    </row>
    <row r="90" spans="1:8" s="30" customFormat="1" x14ac:dyDescent="0.25">
      <c r="A90" s="16"/>
      <c r="B90" s="22" t="s">
        <v>87</v>
      </c>
      <c r="C90" s="16">
        <v>7133</v>
      </c>
      <c r="D90" s="16">
        <f>Лист1!E75</f>
        <v>1</v>
      </c>
      <c r="E90" s="16">
        <f>Лист1!F75</f>
        <v>4</v>
      </c>
      <c r="F90" s="51"/>
      <c r="G90" s="33"/>
      <c r="H90" s="33"/>
    </row>
    <row r="91" spans="1:8" s="30" customFormat="1" x14ac:dyDescent="0.25">
      <c r="A91" s="16"/>
      <c r="B91" s="22" t="s">
        <v>88</v>
      </c>
      <c r="C91" s="16">
        <v>8211</v>
      </c>
      <c r="D91" s="16">
        <f>Лист1!E76</f>
        <v>1</v>
      </c>
      <c r="E91" s="16">
        <f>Лист1!F76</f>
        <v>4</v>
      </c>
      <c r="F91" s="51"/>
      <c r="G91" s="33"/>
      <c r="H91" s="33"/>
    </row>
    <row r="92" spans="1:8" s="30" customFormat="1" x14ac:dyDescent="0.25">
      <c r="A92" s="16"/>
      <c r="B92" s="22" t="s">
        <v>25</v>
      </c>
      <c r="C92" s="16"/>
      <c r="D92" s="16">
        <f>SUM(D82:D91)</f>
        <v>19</v>
      </c>
      <c r="E92" s="16"/>
      <c r="F92" s="16"/>
      <c r="G92" s="33"/>
      <c r="H92" s="33"/>
    </row>
    <row r="93" spans="1:8" x14ac:dyDescent="0.25">
      <c r="A93" s="21" t="s">
        <v>89</v>
      </c>
      <c r="B93" s="125" t="s">
        <v>181</v>
      </c>
      <c r="C93" s="126"/>
      <c r="D93" s="126"/>
      <c r="E93" s="126"/>
      <c r="F93" s="126"/>
      <c r="G93" s="126"/>
      <c r="H93" s="127"/>
    </row>
    <row r="94" spans="1:8" x14ac:dyDescent="0.25">
      <c r="A94" s="16"/>
      <c r="B94" s="31" t="s">
        <v>77</v>
      </c>
      <c r="C94" s="16" t="s">
        <v>41</v>
      </c>
      <c r="D94" s="16">
        <f>Лист1!E79</f>
        <v>1</v>
      </c>
      <c r="E94" s="43"/>
      <c r="F94" s="43"/>
      <c r="G94" s="33"/>
      <c r="H94" s="33"/>
    </row>
    <row r="95" spans="1:8" x14ac:dyDescent="0.25">
      <c r="A95" s="41" t="s">
        <v>90</v>
      </c>
      <c r="B95" s="132" t="s">
        <v>91</v>
      </c>
      <c r="C95" s="133"/>
      <c r="D95" s="133"/>
      <c r="E95" s="133"/>
      <c r="F95" s="133"/>
      <c r="G95" s="133"/>
      <c r="H95" s="134"/>
    </row>
    <row r="96" spans="1:8" s="52" customFormat="1" ht="13.5" customHeight="1" x14ac:dyDescent="0.25">
      <c r="A96" s="42"/>
      <c r="B96" s="28" t="s">
        <v>40</v>
      </c>
      <c r="C96" s="37" t="s">
        <v>41</v>
      </c>
      <c r="D96" s="37">
        <f>Лист1!E81</f>
        <v>1</v>
      </c>
      <c r="E96" s="37"/>
      <c r="F96" s="37"/>
      <c r="G96" s="33"/>
      <c r="H96" s="33"/>
    </row>
    <row r="97" spans="1:8" s="52" customFormat="1" ht="28.5" customHeight="1" x14ac:dyDescent="0.25">
      <c r="A97" s="42"/>
      <c r="B97" s="26" t="s">
        <v>92</v>
      </c>
      <c r="C97" s="37">
        <v>7233</v>
      </c>
      <c r="D97" s="37">
        <f>Лист1!E82</f>
        <v>5</v>
      </c>
      <c r="E97" s="37">
        <f>Лист1!F82</f>
        <v>5</v>
      </c>
      <c r="F97" s="34"/>
      <c r="G97" s="33"/>
      <c r="H97" s="33"/>
    </row>
    <row r="98" spans="1:8" ht="31.5" x14ac:dyDescent="0.25">
      <c r="A98" s="42"/>
      <c r="B98" s="26" t="s">
        <v>92</v>
      </c>
      <c r="C98" s="16">
        <v>7233</v>
      </c>
      <c r="D98" s="37">
        <f>Лист1!E83</f>
        <v>3</v>
      </c>
      <c r="E98" s="37">
        <f>Лист1!F83</f>
        <v>4</v>
      </c>
      <c r="F98" s="34"/>
      <c r="G98" s="33"/>
      <c r="H98" s="33"/>
    </row>
    <row r="99" spans="1:8" s="30" customFormat="1" x14ac:dyDescent="0.25">
      <c r="A99" s="42"/>
      <c r="B99" s="22" t="s">
        <v>93</v>
      </c>
      <c r="C99" s="16">
        <v>7212</v>
      </c>
      <c r="D99" s="37">
        <f>Лист1!E84</f>
        <v>2</v>
      </c>
      <c r="E99" s="37">
        <f>Лист1!F84</f>
        <v>6</v>
      </c>
      <c r="F99" s="34"/>
      <c r="G99" s="33"/>
      <c r="H99" s="33"/>
    </row>
    <row r="100" spans="1:8" x14ac:dyDescent="0.25">
      <c r="A100" s="42"/>
      <c r="B100" s="22" t="s">
        <v>25</v>
      </c>
      <c r="C100" s="16"/>
      <c r="D100" s="16">
        <f>SUM(D96:D99)</f>
        <v>11</v>
      </c>
      <c r="E100" s="16"/>
      <c r="F100" s="16"/>
      <c r="G100" s="33"/>
      <c r="H100" s="33"/>
    </row>
    <row r="101" spans="1:8" x14ac:dyDescent="0.25">
      <c r="A101" s="41" t="s">
        <v>94</v>
      </c>
      <c r="B101" s="125" t="s">
        <v>96</v>
      </c>
      <c r="C101" s="126"/>
      <c r="D101" s="126"/>
      <c r="E101" s="126"/>
      <c r="F101" s="126"/>
      <c r="G101" s="126"/>
      <c r="H101" s="127"/>
    </row>
    <row r="102" spans="1:8" x14ac:dyDescent="0.25">
      <c r="A102" s="42"/>
      <c r="B102" s="31" t="s">
        <v>97</v>
      </c>
      <c r="C102" s="16" t="s">
        <v>41</v>
      </c>
      <c r="D102" s="16">
        <f>Лист1!E87</f>
        <v>1</v>
      </c>
      <c r="E102" s="21"/>
      <c r="F102" s="21"/>
      <c r="G102" s="33"/>
      <c r="H102" s="33"/>
    </row>
    <row r="103" spans="1:8" x14ac:dyDescent="0.25">
      <c r="A103" s="42"/>
      <c r="B103" s="26" t="s">
        <v>78</v>
      </c>
      <c r="C103" s="16">
        <v>8163</v>
      </c>
      <c r="D103" s="16">
        <f>Лист1!E88</f>
        <v>5</v>
      </c>
      <c r="E103" s="16">
        <f>Лист1!F88</f>
        <v>2</v>
      </c>
      <c r="F103" s="51"/>
      <c r="G103" s="33"/>
      <c r="H103" s="33"/>
    </row>
    <row r="104" spans="1:8" x14ac:dyDescent="0.25">
      <c r="A104" s="42"/>
      <c r="B104" s="22" t="s">
        <v>85</v>
      </c>
      <c r="C104" s="16">
        <v>7233</v>
      </c>
      <c r="D104" s="16">
        <f>Лист1!E89</f>
        <v>1</v>
      </c>
      <c r="E104" s="16">
        <f>Лист1!F89</f>
        <v>3</v>
      </c>
      <c r="F104" s="51"/>
      <c r="G104" s="33"/>
      <c r="H104" s="33"/>
    </row>
    <row r="105" spans="1:8" ht="47.25" x14ac:dyDescent="0.25">
      <c r="A105" s="42"/>
      <c r="B105" s="26" t="s">
        <v>65</v>
      </c>
      <c r="C105" s="16">
        <v>7241</v>
      </c>
      <c r="D105" s="16">
        <f>Лист1!E90</f>
        <v>1</v>
      </c>
      <c r="E105" s="16">
        <f>Лист1!F90</f>
        <v>5</v>
      </c>
      <c r="F105" s="51"/>
      <c r="G105" s="33"/>
      <c r="H105" s="33"/>
    </row>
    <row r="106" spans="1:8" ht="31.5" x14ac:dyDescent="0.25">
      <c r="A106" s="42"/>
      <c r="B106" s="38" t="s">
        <v>92</v>
      </c>
      <c r="C106" s="16">
        <v>7233</v>
      </c>
      <c r="D106" s="16">
        <f>Лист1!E91</f>
        <v>2</v>
      </c>
      <c r="E106" s="16">
        <f>Лист1!F91</f>
        <v>5</v>
      </c>
      <c r="F106" s="51"/>
      <c r="G106" s="33"/>
      <c r="H106" s="33"/>
    </row>
    <row r="107" spans="1:8" s="30" customFormat="1" x14ac:dyDescent="0.25">
      <c r="A107" s="42"/>
      <c r="B107" s="22" t="s">
        <v>25</v>
      </c>
      <c r="C107" s="16"/>
      <c r="D107" s="16">
        <f>SUM(D102:D106)</f>
        <v>10</v>
      </c>
      <c r="E107" s="16"/>
      <c r="F107" s="16"/>
      <c r="G107" s="33"/>
      <c r="H107" s="33"/>
    </row>
    <row r="108" spans="1:8" x14ac:dyDescent="0.25">
      <c r="A108" s="16"/>
      <c r="B108" s="22" t="s">
        <v>165</v>
      </c>
      <c r="C108" s="16"/>
      <c r="D108" s="16">
        <f>D94+D100+D107</f>
        <v>22</v>
      </c>
      <c r="E108" s="16"/>
      <c r="F108" s="16"/>
      <c r="G108" s="33"/>
      <c r="H108" s="33"/>
    </row>
    <row r="109" spans="1:8" x14ac:dyDescent="0.25">
      <c r="A109" s="41" t="s">
        <v>98</v>
      </c>
      <c r="B109" s="132" t="s">
        <v>176</v>
      </c>
      <c r="C109" s="133"/>
      <c r="D109" s="133"/>
      <c r="E109" s="133"/>
      <c r="F109" s="133"/>
      <c r="G109" s="133"/>
      <c r="H109" s="134"/>
    </row>
    <row r="110" spans="1:8" x14ac:dyDescent="0.25">
      <c r="A110" s="42"/>
      <c r="B110" s="31" t="s">
        <v>77</v>
      </c>
      <c r="C110" s="16" t="s">
        <v>41</v>
      </c>
      <c r="D110" s="16">
        <f>Лист1!E95</f>
        <v>1</v>
      </c>
      <c r="E110" s="43"/>
      <c r="F110" s="43"/>
      <c r="G110" s="33"/>
      <c r="H110" s="33"/>
    </row>
    <row r="111" spans="1:8" ht="31.5" x14ac:dyDescent="0.25">
      <c r="A111" s="42"/>
      <c r="B111" s="26" t="s">
        <v>92</v>
      </c>
      <c r="C111" s="16">
        <v>7233</v>
      </c>
      <c r="D111" s="16">
        <f>Лист1!E96</f>
        <v>5</v>
      </c>
      <c r="E111" s="16">
        <f>Лист1!F96</f>
        <v>5</v>
      </c>
      <c r="F111" s="51"/>
      <c r="G111" s="33"/>
      <c r="H111" s="33"/>
    </row>
    <row r="112" spans="1:8" s="30" customFormat="1" ht="31.5" x14ac:dyDescent="0.25">
      <c r="A112" s="42"/>
      <c r="B112" s="26" t="s">
        <v>92</v>
      </c>
      <c r="C112" s="16">
        <v>7233</v>
      </c>
      <c r="D112" s="16">
        <f>Лист1!E97</f>
        <v>2</v>
      </c>
      <c r="E112" s="16">
        <f>Лист1!F97</f>
        <v>4</v>
      </c>
      <c r="F112" s="51"/>
      <c r="G112" s="33"/>
      <c r="H112" s="33"/>
    </row>
    <row r="113" spans="1:8" x14ac:dyDescent="0.25">
      <c r="A113" s="42"/>
      <c r="B113" s="22" t="s">
        <v>25</v>
      </c>
      <c r="C113" s="16"/>
      <c r="D113" s="16">
        <f>SUM(D110:D112)</f>
        <v>8</v>
      </c>
      <c r="E113" s="16"/>
      <c r="F113" s="16"/>
      <c r="G113" s="33"/>
      <c r="H113" s="33"/>
    </row>
    <row r="114" spans="1:8" x14ac:dyDescent="0.25">
      <c r="A114" s="21" t="s">
        <v>101</v>
      </c>
      <c r="B114" s="125" t="s">
        <v>99</v>
      </c>
      <c r="C114" s="126"/>
      <c r="D114" s="126"/>
      <c r="E114" s="126"/>
      <c r="F114" s="126"/>
      <c r="G114" s="126"/>
      <c r="H114" s="127"/>
    </row>
    <row r="115" spans="1:8" x14ac:dyDescent="0.25">
      <c r="A115" s="16"/>
      <c r="B115" s="31" t="s">
        <v>71</v>
      </c>
      <c r="C115" s="16" t="s">
        <v>72</v>
      </c>
      <c r="D115" s="16">
        <f>Лист1!E100</f>
        <v>1</v>
      </c>
      <c r="E115" s="18"/>
      <c r="F115" s="17"/>
      <c r="G115" s="29"/>
      <c r="H115" s="27"/>
    </row>
    <row r="116" spans="1:8" x14ac:dyDescent="0.25">
      <c r="A116" s="16"/>
      <c r="B116" s="32" t="s">
        <v>73</v>
      </c>
      <c r="C116" s="16" t="s">
        <v>74</v>
      </c>
      <c r="D116" s="16">
        <f>Лист1!E101</f>
        <v>1</v>
      </c>
      <c r="E116" s="18"/>
      <c r="F116" s="40"/>
      <c r="G116" s="29"/>
      <c r="H116" s="27"/>
    </row>
    <row r="117" spans="1:8" s="30" customFormat="1" x14ac:dyDescent="0.25">
      <c r="A117" s="16"/>
      <c r="B117" s="32" t="s">
        <v>100</v>
      </c>
      <c r="C117" s="16">
        <v>8290</v>
      </c>
      <c r="D117" s="16">
        <f>Лист1!E102</f>
        <v>1</v>
      </c>
      <c r="E117" s="18">
        <f>Лист1!F102</f>
        <v>2</v>
      </c>
      <c r="F117" s="40"/>
      <c r="G117" s="29"/>
      <c r="H117" s="27"/>
    </row>
    <row r="118" spans="1:8" x14ac:dyDescent="0.25">
      <c r="A118" s="16"/>
      <c r="B118" s="31" t="s">
        <v>25</v>
      </c>
      <c r="C118" s="16"/>
      <c r="D118" s="16">
        <f>D115+D116+D117</f>
        <v>3</v>
      </c>
      <c r="E118" s="18"/>
      <c r="F118" s="17"/>
      <c r="G118" s="29"/>
      <c r="H118" s="27"/>
    </row>
    <row r="119" spans="1:8" x14ac:dyDescent="0.25">
      <c r="A119" s="21" t="s">
        <v>109</v>
      </c>
      <c r="B119" s="128" t="s">
        <v>102</v>
      </c>
      <c r="C119" s="129"/>
      <c r="D119" s="129"/>
      <c r="E119" s="129"/>
      <c r="F119" s="129"/>
      <c r="G119" s="129"/>
      <c r="H119" s="130"/>
    </row>
    <row r="120" spans="1:8" x14ac:dyDescent="0.25">
      <c r="A120" s="16"/>
      <c r="B120" s="36" t="s">
        <v>77</v>
      </c>
      <c r="C120" s="16" t="s">
        <v>41</v>
      </c>
      <c r="D120" s="16">
        <f>Лист1!E105</f>
        <v>1</v>
      </c>
      <c r="E120" s="21"/>
      <c r="F120" s="21"/>
      <c r="G120" s="33"/>
      <c r="H120" s="33"/>
    </row>
    <row r="121" spans="1:8" x14ac:dyDescent="0.25">
      <c r="A121" s="16"/>
      <c r="B121" s="36" t="s">
        <v>40</v>
      </c>
      <c r="C121" s="16" t="s">
        <v>41</v>
      </c>
      <c r="D121" s="16">
        <f>Лист1!E106</f>
        <v>1</v>
      </c>
      <c r="E121" s="21"/>
      <c r="F121" s="21"/>
      <c r="G121" s="33"/>
      <c r="H121" s="33"/>
    </row>
    <row r="122" spans="1:8" x14ac:dyDescent="0.25">
      <c r="A122" s="16"/>
      <c r="B122" s="31" t="s">
        <v>30</v>
      </c>
      <c r="C122" s="16" t="s">
        <v>21</v>
      </c>
      <c r="D122" s="16">
        <f>Лист1!E107</f>
        <v>1</v>
      </c>
      <c r="E122" s="21"/>
      <c r="F122" s="21"/>
      <c r="G122" s="33"/>
      <c r="H122" s="33"/>
    </row>
    <row r="123" spans="1:8" x14ac:dyDescent="0.25">
      <c r="A123" s="16"/>
      <c r="B123" s="22" t="s">
        <v>103</v>
      </c>
      <c r="C123" s="16">
        <v>8163</v>
      </c>
      <c r="D123" s="16">
        <f>Лист1!E108</f>
        <v>4</v>
      </c>
      <c r="E123" s="16">
        <f>Лист1!F108</f>
        <v>2</v>
      </c>
      <c r="F123" s="51"/>
      <c r="G123" s="33"/>
      <c r="H123" s="33"/>
    </row>
    <row r="124" spans="1:8" x14ac:dyDescent="0.25">
      <c r="A124" s="16"/>
      <c r="B124" s="26" t="s">
        <v>78</v>
      </c>
      <c r="C124" s="16">
        <v>8163</v>
      </c>
      <c r="D124" s="16">
        <f>Лист1!E109</f>
        <v>5</v>
      </c>
      <c r="E124" s="16">
        <f>Лист1!F109</f>
        <v>3</v>
      </c>
      <c r="F124" s="51"/>
      <c r="G124" s="33"/>
      <c r="H124" s="33"/>
    </row>
    <row r="125" spans="1:8" ht="30.75" customHeight="1" x14ac:dyDescent="0.25">
      <c r="A125" s="16"/>
      <c r="B125" s="26" t="s">
        <v>104</v>
      </c>
      <c r="C125" s="16">
        <v>8163</v>
      </c>
      <c r="D125" s="16">
        <f>Лист1!E110</f>
        <v>5</v>
      </c>
      <c r="E125" s="16">
        <f>Лист1!F110</f>
        <v>3</v>
      </c>
      <c r="F125" s="51"/>
      <c r="G125" s="33"/>
      <c r="H125" s="33"/>
    </row>
    <row r="126" spans="1:8" x14ac:dyDescent="0.25">
      <c r="A126" s="16"/>
      <c r="B126" s="26" t="s">
        <v>105</v>
      </c>
      <c r="C126" s="16">
        <v>8163</v>
      </c>
      <c r="D126" s="16">
        <f>Лист1!E111</f>
        <v>5</v>
      </c>
      <c r="E126" s="16">
        <f>Лист1!F111</f>
        <v>2</v>
      </c>
      <c r="F126" s="51"/>
      <c r="G126" s="33"/>
      <c r="H126" s="33"/>
    </row>
    <row r="127" spans="1:8" x14ac:dyDescent="0.25">
      <c r="A127" s="16"/>
      <c r="B127" s="22" t="s">
        <v>106</v>
      </c>
      <c r="C127" s="16">
        <v>8163</v>
      </c>
      <c r="D127" s="16">
        <f>Лист1!E112</f>
        <v>2</v>
      </c>
      <c r="E127" s="16">
        <f>Лист1!F112</f>
        <v>2</v>
      </c>
      <c r="F127" s="51"/>
      <c r="G127" s="33"/>
      <c r="H127" s="33"/>
    </row>
    <row r="128" spans="1:8" x14ac:dyDescent="0.25">
      <c r="A128" s="16"/>
      <c r="B128" s="38" t="s">
        <v>107</v>
      </c>
      <c r="C128" s="16">
        <v>7233</v>
      </c>
      <c r="D128" s="16">
        <f>Лист1!E113</f>
        <v>1</v>
      </c>
      <c r="E128" s="16">
        <f>Лист1!F113</f>
        <v>4</v>
      </c>
      <c r="F128" s="51"/>
      <c r="G128" s="33"/>
      <c r="H128" s="33"/>
    </row>
    <row r="129" spans="1:8" x14ac:dyDescent="0.25">
      <c r="A129" s="16"/>
      <c r="B129" s="38" t="s">
        <v>107</v>
      </c>
      <c r="C129" s="16">
        <v>7233</v>
      </c>
      <c r="D129" s="16">
        <f>Лист1!E114</f>
        <v>1</v>
      </c>
      <c r="E129" s="16">
        <f>Лист1!F114</f>
        <v>5</v>
      </c>
      <c r="F129" s="51"/>
      <c r="G129" s="33"/>
      <c r="H129" s="33"/>
    </row>
    <row r="130" spans="1:8" x14ac:dyDescent="0.25">
      <c r="A130" s="16"/>
      <c r="B130" s="22" t="s">
        <v>108</v>
      </c>
      <c r="C130" s="16">
        <v>7212</v>
      </c>
      <c r="D130" s="16">
        <f>Лист1!E115</f>
        <v>1</v>
      </c>
      <c r="E130" s="16">
        <f>Лист1!F115</f>
        <v>5</v>
      </c>
      <c r="F130" s="51"/>
      <c r="G130" s="33"/>
      <c r="H130" s="33"/>
    </row>
    <row r="131" spans="1:8" s="30" customFormat="1" x14ac:dyDescent="0.25">
      <c r="A131" s="16"/>
      <c r="B131" s="22" t="s">
        <v>79</v>
      </c>
      <c r="C131" s="16">
        <v>9162</v>
      </c>
      <c r="D131" s="16">
        <f>Лист1!E116</f>
        <v>1</v>
      </c>
      <c r="E131" s="16"/>
      <c r="F131" s="51"/>
      <c r="G131" s="33"/>
      <c r="H131" s="33"/>
    </row>
    <row r="132" spans="1:8" x14ac:dyDescent="0.25">
      <c r="A132" s="16"/>
      <c r="B132" s="22" t="s">
        <v>25</v>
      </c>
      <c r="C132" s="16"/>
      <c r="D132" s="16">
        <f>SUM(D120:D131)</f>
        <v>28</v>
      </c>
      <c r="E132" s="16"/>
      <c r="F132" s="16"/>
      <c r="G132" s="33"/>
      <c r="H132" s="33"/>
    </row>
    <row r="133" spans="1:8" x14ac:dyDescent="0.25">
      <c r="A133" s="21" t="s">
        <v>119</v>
      </c>
      <c r="B133" s="125" t="s">
        <v>110</v>
      </c>
      <c r="C133" s="126"/>
      <c r="D133" s="126"/>
      <c r="E133" s="126"/>
      <c r="F133" s="126"/>
      <c r="G133" s="126"/>
      <c r="H133" s="127"/>
    </row>
    <row r="134" spans="1:8" s="52" customFormat="1" x14ac:dyDescent="0.25">
      <c r="A134" s="16"/>
      <c r="B134" s="22" t="s">
        <v>77</v>
      </c>
      <c r="C134" s="16" t="s">
        <v>23</v>
      </c>
      <c r="D134" s="16">
        <f>Лист1!E119</f>
        <v>1</v>
      </c>
      <c r="E134" s="21"/>
      <c r="F134" s="21"/>
      <c r="G134" s="33"/>
      <c r="H134" s="33"/>
    </row>
    <row r="135" spans="1:8" s="52" customFormat="1" ht="45.75" customHeight="1" x14ac:dyDescent="0.25">
      <c r="A135" s="16"/>
      <c r="B135" s="38" t="s">
        <v>111</v>
      </c>
      <c r="C135" s="16">
        <v>8322</v>
      </c>
      <c r="D135" s="16">
        <f>Лист1!E120</f>
        <v>6</v>
      </c>
      <c r="E135" s="16"/>
      <c r="F135" s="51"/>
      <c r="G135" s="33"/>
      <c r="H135" s="33"/>
    </row>
    <row r="136" spans="1:8" s="52" customFormat="1" ht="48" customHeight="1" x14ac:dyDescent="0.25">
      <c r="A136" s="16"/>
      <c r="B136" s="38" t="s">
        <v>112</v>
      </c>
      <c r="C136" s="16">
        <v>8322</v>
      </c>
      <c r="D136" s="16">
        <v>2</v>
      </c>
      <c r="E136" s="37"/>
      <c r="F136" s="51"/>
      <c r="G136" s="33"/>
      <c r="H136" s="33"/>
    </row>
    <row r="137" spans="1:8" s="52" customFormat="1" ht="46.5" customHeight="1" x14ac:dyDescent="0.25">
      <c r="A137" s="16"/>
      <c r="B137" s="38" t="s">
        <v>113</v>
      </c>
      <c r="C137" s="16">
        <v>8322</v>
      </c>
      <c r="D137" s="16">
        <f>Лист1!E122</f>
        <v>2</v>
      </c>
      <c r="E137" s="16"/>
      <c r="F137" s="51"/>
      <c r="G137" s="33"/>
      <c r="H137" s="33"/>
    </row>
    <row r="138" spans="1:8" s="52" customFormat="1" ht="47.25" x14ac:dyDescent="0.25">
      <c r="A138" s="16"/>
      <c r="B138" s="38" t="s">
        <v>114</v>
      </c>
      <c r="C138" s="16">
        <v>8322</v>
      </c>
      <c r="D138" s="16">
        <f>Лист1!E123</f>
        <v>1</v>
      </c>
      <c r="E138" s="16"/>
      <c r="F138" s="51"/>
      <c r="G138" s="33"/>
      <c r="H138" s="33"/>
    </row>
    <row r="139" spans="1:8" s="52" customFormat="1" ht="47.25" x14ac:dyDescent="0.25">
      <c r="A139" s="16"/>
      <c r="B139" s="38" t="s">
        <v>192</v>
      </c>
      <c r="C139" s="16">
        <v>8332</v>
      </c>
      <c r="D139" s="16">
        <v>1</v>
      </c>
      <c r="E139" s="16"/>
      <c r="F139" s="51"/>
      <c r="G139" s="33"/>
      <c r="H139" s="33"/>
    </row>
    <row r="140" spans="1:8" s="52" customFormat="1" ht="31.5" x14ac:dyDescent="0.25">
      <c r="A140" s="16"/>
      <c r="B140" s="26" t="s">
        <v>115</v>
      </c>
      <c r="C140" s="16">
        <v>8332</v>
      </c>
      <c r="D140" s="16">
        <f>Лист1!E125</f>
        <v>1</v>
      </c>
      <c r="E140" s="16">
        <f>Лист1!F125</f>
        <v>6</v>
      </c>
      <c r="F140" s="51"/>
      <c r="G140" s="33"/>
      <c r="H140" s="33"/>
    </row>
    <row r="141" spans="1:8" s="52" customFormat="1" ht="31.5" x14ac:dyDescent="0.25">
      <c r="A141" s="16"/>
      <c r="B141" s="26" t="s">
        <v>116</v>
      </c>
      <c r="C141" s="16">
        <v>8332</v>
      </c>
      <c r="D141" s="16">
        <f>Лист1!E126</f>
        <v>2</v>
      </c>
      <c r="E141" s="16">
        <f>Лист1!F126</f>
        <v>6</v>
      </c>
      <c r="F141" s="51"/>
      <c r="G141" s="33"/>
      <c r="H141" s="33"/>
    </row>
    <row r="142" spans="1:8" s="53" customFormat="1" x14ac:dyDescent="0.25">
      <c r="A142" s="16"/>
      <c r="B142" s="26" t="s">
        <v>172</v>
      </c>
      <c r="C142" s="16">
        <v>8331</v>
      </c>
      <c r="D142" s="16">
        <f>Лист1!E127</f>
        <v>1</v>
      </c>
      <c r="E142" s="16">
        <f>Лист1!F127</f>
        <v>6</v>
      </c>
      <c r="F142" s="51"/>
      <c r="G142" s="33"/>
      <c r="H142" s="33"/>
    </row>
    <row r="143" spans="1:8" s="53" customFormat="1" x14ac:dyDescent="0.25">
      <c r="A143" s="16"/>
      <c r="B143" s="26" t="s">
        <v>172</v>
      </c>
      <c r="C143" s="17">
        <v>8331</v>
      </c>
      <c r="D143" s="16">
        <f>Лист1!E128</f>
        <v>2</v>
      </c>
      <c r="E143" s="16">
        <f>Лист1!F128</f>
        <v>5</v>
      </c>
      <c r="F143" s="51"/>
      <c r="G143" s="33"/>
      <c r="H143" s="33"/>
    </row>
    <row r="144" spans="1:8" s="52" customFormat="1" ht="31.5" x14ac:dyDescent="0.25">
      <c r="A144" s="16"/>
      <c r="B144" s="26" t="s">
        <v>117</v>
      </c>
      <c r="C144" s="16">
        <v>8111</v>
      </c>
      <c r="D144" s="16">
        <f>Лист1!E129</f>
        <v>1</v>
      </c>
      <c r="E144" s="16">
        <f>Лист1!F129</f>
        <v>6</v>
      </c>
      <c r="F144" s="51"/>
      <c r="G144" s="33"/>
      <c r="H144" s="33"/>
    </row>
    <row r="145" spans="1:10" s="52" customFormat="1" ht="31.5" x14ac:dyDescent="0.25">
      <c r="A145" s="16"/>
      <c r="B145" s="38" t="s">
        <v>118</v>
      </c>
      <c r="C145" s="16">
        <v>7231</v>
      </c>
      <c r="D145" s="16">
        <f>Лист1!E130</f>
        <v>3</v>
      </c>
      <c r="E145" s="16">
        <f>Лист1!F130</f>
        <v>5</v>
      </c>
      <c r="F145" s="51"/>
      <c r="G145" s="33"/>
      <c r="H145" s="33"/>
    </row>
    <row r="146" spans="1:10" s="52" customFormat="1" x14ac:dyDescent="0.25">
      <c r="A146" s="16"/>
      <c r="B146" s="22" t="s">
        <v>108</v>
      </c>
      <c r="C146" s="16">
        <v>7212</v>
      </c>
      <c r="D146" s="16">
        <f>Лист1!E131</f>
        <v>1</v>
      </c>
      <c r="E146" s="16">
        <f>Лист1!F131</f>
        <v>5</v>
      </c>
      <c r="F146" s="51"/>
      <c r="G146" s="33"/>
      <c r="H146" s="33"/>
    </row>
    <row r="147" spans="1:10" x14ac:dyDescent="0.25">
      <c r="A147" s="16"/>
      <c r="B147" s="22" t="s">
        <v>25</v>
      </c>
      <c r="C147" s="16"/>
      <c r="D147" s="16">
        <f>SUM(D134:D146)</f>
        <v>24</v>
      </c>
      <c r="E147" s="16"/>
      <c r="F147" s="16"/>
      <c r="G147" s="33"/>
      <c r="H147" s="33"/>
    </row>
    <row r="148" spans="1:10" x14ac:dyDescent="0.25">
      <c r="A148" s="21" t="s">
        <v>182</v>
      </c>
      <c r="B148" s="125" t="s">
        <v>120</v>
      </c>
      <c r="C148" s="126"/>
      <c r="D148" s="126"/>
      <c r="E148" s="126"/>
      <c r="F148" s="126"/>
      <c r="G148" s="126"/>
      <c r="H148" s="127"/>
    </row>
    <row r="149" spans="1:10" x14ac:dyDescent="0.25">
      <c r="A149" s="16"/>
      <c r="B149" s="31" t="s">
        <v>121</v>
      </c>
      <c r="C149" s="16">
        <v>1239</v>
      </c>
      <c r="D149" s="16">
        <f>Лист1!E134</f>
        <v>1</v>
      </c>
      <c r="E149" s="18"/>
      <c r="F149" s="17"/>
      <c r="G149" s="29"/>
      <c r="H149" s="27"/>
    </row>
    <row r="150" spans="1:10" s="30" customFormat="1" x14ac:dyDescent="0.25">
      <c r="A150" s="16"/>
      <c r="B150" s="32" t="s">
        <v>122</v>
      </c>
      <c r="C150" s="16">
        <v>5169</v>
      </c>
      <c r="D150" s="16">
        <f>Лист1!E135</f>
        <v>10</v>
      </c>
      <c r="E150" s="18"/>
      <c r="F150" s="40"/>
      <c r="G150" s="29"/>
      <c r="H150" s="27"/>
    </row>
    <row r="151" spans="1:10" ht="19.5" customHeight="1" x14ac:dyDescent="0.25">
      <c r="A151" s="16"/>
      <c r="B151" s="31" t="s">
        <v>25</v>
      </c>
      <c r="C151" s="16"/>
      <c r="D151" s="16">
        <f>D149+D150</f>
        <v>11</v>
      </c>
      <c r="E151" s="18"/>
      <c r="F151" s="17"/>
      <c r="G151" s="29"/>
      <c r="H151" s="27"/>
    </row>
    <row r="152" spans="1:10" ht="36" customHeight="1" x14ac:dyDescent="0.25">
      <c r="A152" s="16"/>
      <c r="B152" s="54" t="s">
        <v>123</v>
      </c>
      <c r="C152" s="16"/>
      <c r="D152" s="21">
        <f>D29+D34+D38+D47+D51+D56+D60+D67+D71+D75+D80+D92+D108+D113+D118+D132+D147+D151</f>
        <v>194</v>
      </c>
      <c r="E152" s="21"/>
      <c r="F152" s="16"/>
      <c r="G152" s="33"/>
      <c r="H152" s="55"/>
    </row>
    <row r="153" spans="1:10" ht="48" customHeight="1" x14ac:dyDescent="0.25">
      <c r="A153" s="131" t="s">
        <v>124</v>
      </c>
      <c r="B153" s="131"/>
      <c r="C153" s="131"/>
      <c r="D153" s="131"/>
      <c r="E153" s="131"/>
      <c r="F153" s="131"/>
      <c r="G153" s="131"/>
      <c r="H153" s="131"/>
    </row>
    <row r="154" spans="1:10" ht="15.75" customHeight="1" x14ac:dyDescent="0.25">
      <c r="B154" s="57" t="s">
        <v>34</v>
      </c>
      <c r="C154" s="14"/>
      <c r="D154" s="123" t="s">
        <v>190</v>
      </c>
      <c r="E154" s="124"/>
      <c r="F154" s="124"/>
      <c r="G154" s="124"/>
      <c r="H154" s="58"/>
      <c r="J154" s="3">
        <f>G31+G37+(G46*4)+G49+(G50*3)+G62+G66+G79+G82+G91+G96+(G98*2)+G99+G112+G121+G127+G135+G136+G137+(G143*2)+G45</f>
        <v>0</v>
      </c>
    </row>
    <row r="155" spans="1:10" ht="15.75" customHeight="1" x14ac:dyDescent="0.25">
      <c r="B155" s="57"/>
      <c r="C155" s="14"/>
      <c r="D155" s="59"/>
      <c r="E155" s="60"/>
      <c r="F155" s="60"/>
      <c r="G155" s="60"/>
      <c r="H155" s="58"/>
    </row>
    <row r="156" spans="1:10" ht="25.5" customHeight="1" x14ac:dyDescent="0.25">
      <c r="B156" s="57"/>
      <c r="C156" s="14"/>
      <c r="D156" s="59"/>
      <c r="E156" s="60"/>
      <c r="F156" s="60"/>
      <c r="G156" s="60"/>
      <c r="H156" s="58"/>
    </row>
    <row r="157" spans="1:10" ht="18.75" x14ac:dyDescent="0.3">
      <c r="B157" s="57" t="s">
        <v>125</v>
      </c>
      <c r="C157" s="9"/>
      <c r="D157" s="59"/>
      <c r="E157" s="60"/>
      <c r="F157" s="60"/>
      <c r="G157" s="61"/>
    </row>
    <row r="158" spans="1:10" ht="18" customHeight="1" x14ac:dyDescent="0.25">
      <c r="B158" s="57" t="s">
        <v>126</v>
      </c>
      <c r="C158" s="14"/>
      <c r="D158" s="123" t="s">
        <v>127</v>
      </c>
      <c r="E158" s="124"/>
      <c r="F158" s="124"/>
      <c r="G158" s="124"/>
    </row>
    <row r="159" spans="1:10" ht="15.75" customHeight="1" x14ac:dyDescent="0.25">
      <c r="B159" s="57"/>
      <c r="C159" s="14"/>
      <c r="D159" s="14"/>
      <c r="E159" s="14"/>
      <c r="F159" s="14"/>
      <c r="G159" s="63"/>
      <c r="H159" s="64"/>
    </row>
    <row r="160" spans="1:10" x14ac:dyDescent="0.25">
      <c r="A160" s="64"/>
      <c r="B160" s="64"/>
      <c r="C160" s="64"/>
      <c r="D160" s="64"/>
      <c r="E160" s="64"/>
      <c r="F160" s="64"/>
      <c r="G160" s="64"/>
    </row>
    <row r="165" spans="3:8" x14ac:dyDescent="0.25">
      <c r="C165" s="107"/>
      <c r="D165" s="107"/>
      <c r="E165" s="107"/>
      <c r="F165" s="107"/>
      <c r="G165" s="108"/>
      <c r="H165" s="108"/>
    </row>
    <row r="166" spans="3:8" x14ac:dyDescent="0.25">
      <c r="C166" s="107"/>
      <c r="D166" s="107"/>
      <c r="E166" s="107"/>
      <c r="F166" s="107"/>
      <c r="G166" s="108"/>
      <c r="H166" s="109"/>
    </row>
    <row r="167" spans="3:8" x14ac:dyDescent="0.25">
      <c r="C167" s="107"/>
      <c r="D167" s="107"/>
      <c r="E167" s="107"/>
      <c r="F167" s="107"/>
      <c r="G167" s="108"/>
      <c r="H167" s="109"/>
    </row>
    <row r="168" spans="3:8" x14ac:dyDescent="0.25">
      <c r="C168" s="107"/>
      <c r="D168" s="107"/>
      <c r="E168" s="107"/>
      <c r="F168" s="107"/>
      <c r="G168" s="108"/>
      <c r="H168" s="109"/>
    </row>
    <row r="169" spans="3:8" x14ac:dyDescent="0.25">
      <c r="C169" s="107"/>
      <c r="D169" s="107"/>
      <c r="E169" s="107"/>
      <c r="F169" s="107"/>
      <c r="G169" s="108"/>
      <c r="H169" s="108"/>
    </row>
    <row r="170" spans="3:8" x14ac:dyDescent="0.25">
      <c r="C170" s="107"/>
      <c r="D170" s="107"/>
      <c r="E170" s="107"/>
      <c r="F170" s="107"/>
      <c r="G170" s="108"/>
      <c r="H170" s="108"/>
    </row>
    <row r="171" spans="3:8" x14ac:dyDescent="0.25">
      <c r="C171" s="107"/>
      <c r="D171" s="107"/>
      <c r="E171" s="107"/>
      <c r="F171" s="107"/>
      <c r="G171" s="108"/>
      <c r="H171" s="108"/>
    </row>
    <row r="172" spans="3:8" x14ac:dyDescent="0.25">
      <c r="C172" s="107"/>
      <c r="D172" s="107"/>
      <c r="E172" s="107"/>
      <c r="F172" s="107"/>
      <c r="G172" s="108"/>
      <c r="H172" s="109"/>
    </row>
    <row r="173" spans="3:8" x14ac:dyDescent="0.25">
      <c r="C173" s="107"/>
      <c r="D173" s="107"/>
      <c r="E173" s="107"/>
      <c r="F173" s="107"/>
      <c r="G173" s="108"/>
      <c r="H173" s="109"/>
    </row>
    <row r="174" spans="3:8" x14ac:dyDescent="0.25">
      <c r="C174" s="107"/>
      <c r="D174" s="107"/>
      <c r="E174" s="107"/>
      <c r="F174" s="107"/>
      <c r="G174" s="108"/>
      <c r="H174" s="108"/>
    </row>
    <row r="175" spans="3:8" x14ac:dyDescent="0.25">
      <c r="C175" s="107"/>
      <c r="D175" s="107"/>
      <c r="E175" s="107"/>
      <c r="F175" s="107"/>
      <c r="G175" s="108"/>
      <c r="H175" s="108"/>
    </row>
    <row r="176" spans="3:8" x14ac:dyDescent="0.25">
      <c r="C176" s="107"/>
      <c r="D176" s="107"/>
      <c r="E176" s="107"/>
      <c r="F176" s="107"/>
      <c r="G176" s="108"/>
      <c r="H176" s="108"/>
    </row>
  </sheetData>
  <mergeCells count="40">
    <mergeCell ref="F7:H7"/>
    <mergeCell ref="F6:H6"/>
    <mergeCell ref="F1:H1"/>
    <mergeCell ref="F2:H2"/>
    <mergeCell ref="F3:H3"/>
    <mergeCell ref="F4:H4"/>
    <mergeCell ref="F5:H5"/>
    <mergeCell ref="B109:H109"/>
    <mergeCell ref="B39:H39"/>
    <mergeCell ref="A9:H9"/>
    <mergeCell ref="A11:H11"/>
    <mergeCell ref="A12:A17"/>
    <mergeCell ref="B12:B17"/>
    <mergeCell ref="C12:C17"/>
    <mergeCell ref="D12:D17"/>
    <mergeCell ref="E12:E17"/>
    <mergeCell ref="F12:F17"/>
    <mergeCell ref="G12:G17"/>
    <mergeCell ref="H12:H17"/>
    <mergeCell ref="B19:H19"/>
    <mergeCell ref="B30:H30"/>
    <mergeCell ref="B35:H35"/>
    <mergeCell ref="B101:H101"/>
    <mergeCell ref="B48:H48"/>
    <mergeCell ref="B53:H53"/>
    <mergeCell ref="B57:H57"/>
    <mergeCell ref="B61:H61"/>
    <mergeCell ref="B68:H68"/>
    <mergeCell ref="B72:H72"/>
    <mergeCell ref="B76:H76"/>
    <mergeCell ref="B81:H81"/>
    <mergeCell ref="B93:H93"/>
    <mergeCell ref="B95:H95"/>
    <mergeCell ref="D158:G158"/>
    <mergeCell ref="B114:H114"/>
    <mergeCell ref="B119:H119"/>
    <mergeCell ref="B133:H133"/>
    <mergeCell ref="B148:H148"/>
    <mergeCell ref="A153:H153"/>
    <mergeCell ref="D154:G154"/>
  </mergeCells>
  <pageMargins left="1.1811023622047245" right="0.39370078740157483" top="0.78740157480314965" bottom="0.39370078740157483" header="0.31496062992125984" footer="0.31496062992125984"/>
  <pageSetup paperSize="9" scale="64" fitToHeight="0" orientation="portrait" r:id="rId1"/>
  <rowBreaks count="2" manualBreakCount="2">
    <brk id="60" max="7" man="1"/>
    <brk id="11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0"/>
  <sheetViews>
    <sheetView view="pageBreakPreview" zoomScale="90" zoomScaleNormal="90" zoomScaleSheetLayoutView="90" workbookViewId="0">
      <selection activeCell="J3" sqref="J3"/>
    </sheetView>
  </sheetViews>
  <sheetFormatPr defaultRowHeight="15" x14ac:dyDescent="0.25"/>
  <cols>
    <col min="1" max="1" width="11.140625" style="68" bestFit="1" customWidth="1"/>
    <col min="2" max="2" width="51.140625" style="106" customWidth="1"/>
    <col min="3" max="3" width="12.5703125" style="106" customWidth="1"/>
    <col min="4" max="6" width="9.140625" style="68"/>
    <col min="7" max="7" width="10.140625" style="68" customWidth="1"/>
    <col min="8" max="8" width="9.5703125" style="68" customWidth="1"/>
    <col min="9" max="9" width="10.140625" style="68" customWidth="1"/>
    <col min="10" max="10" width="9.85546875" style="68" customWidth="1"/>
    <col min="11" max="11" width="11.140625" style="68" hidden="1" customWidth="1"/>
    <col min="12" max="12" width="10" style="68" bestFit="1" customWidth="1"/>
    <col min="13" max="13" width="10.5703125" style="68" customWidth="1"/>
    <col min="14" max="14" width="13.140625" style="68" customWidth="1"/>
    <col min="15" max="15" width="13.28515625" style="68" customWidth="1"/>
    <col min="16" max="16" width="11.140625" style="68" bestFit="1" customWidth="1"/>
    <col min="17" max="17" width="9.140625" style="68"/>
    <col min="18" max="20" width="9.140625" style="69"/>
  </cols>
  <sheetData>
    <row r="1" spans="1:20" x14ac:dyDescent="0.25">
      <c r="A1" s="66"/>
      <c r="B1" s="67"/>
      <c r="C1" s="67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20" ht="45.75" customHeight="1" x14ac:dyDescent="0.25">
      <c r="A2" s="66">
        <v>3028</v>
      </c>
      <c r="B2" s="67" t="s">
        <v>185</v>
      </c>
      <c r="C2" s="67"/>
      <c r="D2" s="66"/>
      <c r="E2" s="66"/>
      <c r="F2" s="66"/>
      <c r="G2" s="66"/>
      <c r="H2" s="66"/>
      <c r="I2" s="66"/>
      <c r="J2" s="66"/>
      <c r="K2" s="66"/>
      <c r="L2" s="66"/>
      <c r="M2" s="66">
        <f>SUM(A2*1.8*1.58)</f>
        <v>8611.6320000000014</v>
      </c>
      <c r="N2" s="150"/>
      <c r="O2" s="150"/>
    </row>
    <row r="3" spans="1:20" ht="45" customHeight="1" x14ac:dyDescent="0.25">
      <c r="A3" s="116">
        <v>2096</v>
      </c>
      <c r="B3" s="67" t="s">
        <v>188</v>
      </c>
      <c r="C3" s="67"/>
      <c r="D3" s="66"/>
      <c r="E3" s="66"/>
      <c r="F3" s="66"/>
      <c r="G3" s="66"/>
      <c r="H3" s="66"/>
      <c r="I3" s="66"/>
      <c r="J3" s="66"/>
      <c r="K3" s="66"/>
      <c r="L3" s="66"/>
      <c r="M3" s="151" t="s">
        <v>128</v>
      </c>
      <c r="N3" s="152"/>
      <c r="O3" s="106"/>
    </row>
    <row r="4" spans="1:20" ht="45.75" customHeight="1" x14ac:dyDescent="0.25">
      <c r="A4" s="66">
        <f>A3/12</f>
        <v>174.66666666666666</v>
      </c>
      <c r="B4" s="67" t="s">
        <v>189</v>
      </c>
      <c r="C4" s="67"/>
      <c r="D4" s="66"/>
      <c r="E4" s="66"/>
      <c r="F4" s="66"/>
      <c r="G4" s="66"/>
      <c r="H4" s="66"/>
      <c r="I4" s="66"/>
      <c r="J4" s="66"/>
      <c r="K4" s="66"/>
      <c r="L4" s="66"/>
      <c r="M4" s="66"/>
      <c r="N4" s="106">
        <v>1</v>
      </c>
      <c r="O4" s="106"/>
    </row>
    <row r="5" spans="1:20" ht="76.5" x14ac:dyDescent="0.25">
      <c r="A5" s="70" t="s">
        <v>129</v>
      </c>
      <c r="B5" s="70" t="s">
        <v>130</v>
      </c>
      <c r="C5" s="70" t="s">
        <v>131</v>
      </c>
      <c r="D5" s="70" t="s">
        <v>132</v>
      </c>
      <c r="E5" s="70" t="s">
        <v>133</v>
      </c>
      <c r="F5" s="70" t="s">
        <v>134</v>
      </c>
      <c r="G5" s="71" t="s">
        <v>135</v>
      </c>
      <c r="H5" s="70" t="s">
        <v>136</v>
      </c>
      <c r="I5" s="70" t="s">
        <v>137</v>
      </c>
      <c r="J5" s="70"/>
      <c r="K5" s="70" t="s">
        <v>138</v>
      </c>
      <c r="L5" s="70" t="s">
        <v>204</v>
      </c>
      <c r="M5" s="70" t="s">
        <v>139</v>
      </c>
      <c r="N5" s="70" t="s">
        <v>140</v>
      </c>
    </row>
    <row r="6" spans="1:20" s="77" customFormat="1" x14ac:dyDescent="0.25">
      <c r="A6" s="72"/>
      <c r="B6" s="73" t="s">
        <v>141</v>
      </c>
      <c r="C6" s="73"/>
      <c r="D6" s="72"/>
      <c r="E6" s="72"/>
      <c r="F6" s="72"/>
      <c r="G6" s="72"/>
      <c r="H6" s="72"/>
      <c r="I6" s="72"/>
      <c r="J6" s="72"/>
      <c r="K6" s="74"/>
      <c r="L6" s="72"/>
      <c r="M6" s="72"/>
      <c r="N6" s="72"/>
      <c r="O6" s="75"/>
      <c r="P6" s="75"/>
      <c r="Q6" s="75"/>
      <c r="R6" s="76"/>
      <c r="S6" s="76"/>
      <c r="T6" s="76"/>
    </row>
    <row r="7" spans="1:20" x14ac:dyDescent="0.25">
      <c r="A7" s="70">
        <v>1</v>
      </c>
      <c r="B7" s="78" t="s">
        <v>11</v>
      </c>
      <c r="C7" s="78"/>
      <c r="D7" s="70"/>
      <c r="E7" s="70">
        <v>1</v>
      </c>
      <c r="F7" s="70"/>
      <c r="G7" s="70">
        <v>4</v>
      </c>
      <c r="H7" s="70"/>
      <c r="I7" s="70"/>
      <c r="J7" s="70"/>
      <c r="K7" s="79"/>
      <c r="L7" s="79"/>
      <c r="M7" s="79">
        <v>34450</v>
      </c>
      <c r="N7" s="79">
        <f t="shared" ref="N7:N15" si="0">M7*E7</f>
        <v>34450</v>
      </c>
      <c r="O7" s="68">
        <f>SUM(G7*M2)</f>
        <v>34446.528000000006</v>
      </c>
    </row>
    <row r="8" spans="1:20" x14ac:dyDescent="0.25">
      <c r="A8" s="70">
        <v>2</v>
      </c>
      <c r="B8" s="78" t="s">
        <v>13</v>
      </c>
      <c r="C8" s="78" t="s">
        <v>142</v>
      </c>
      <c r="D8" s="70"/>
      <c r="E8" s="70">
        <v>1</v>
      </c>
      <c r="F8" s="70"/>
      <c r="G8" s="70">
        <v>3.6</v>
      </c>
      <c r="H8" s="70"/>
      <c r="I8" s="70"/>
      <c r="J8" s="70"/>
      <c r="K8" s="79">
        <f>SUM(M8*15/100)</f>
        <v>4650.75</v>
      </c>
      <c r="L8" s="79"/>
      <c r="M8" s="79">
        <v>31005</v>
      </c>
      <c r="N8" s="79">
        <f t="shared" si="0"/>
        <v>31005</v>
      </c>
      <c r="O8" s="68">
        <f>SUM(G8*M2)</f>
        <v>31001.875200000006</v>
      </c>
    </row>
    <row r="9" spans="1:20" x14ac:dyDescent="0.25">
      <c r="A9" s="70">
        <v>3</v>
      </c>
      <c r="B9" s="78" t="s">
        <v>14</v>
      </c>
      <c r="C9" s="78" t="s">
        <v>142</v>
      </c>
      <c r="D9" s="70"/>
      <c r="E9" s="70">
        <v>1</v>
      </c>
      <c r="F9" s="70"/>
      <c r="G9" s="70">
        <v>3.4</v>
      </c>
      <c r="H9" s="70"/>
      <c r="I9" s="70"/>
      <c r="J9" s="70"/>
      <c r="K9" s="79"/>
      <c r="L9" s="79"/>
      <c r="M9" s="79">
        <v>29280</v>
      </c>
      <c r="N9" s="79">
        <f t="shared" si="0"/>
        <v>29280</v>
      </c>
      <c r="O9" s="68">
        <f>SUM(G9*M2)</f>
        <v>29279.548800000004</v>
      </c>
    </row>
    <row r="10" spans="1:20" x14ac:dyDescent="0.25">
      <c r="A10" s="70">
        <v>4</v>
      </c>
      <c r="B10" s="78" t="s">
        <v>15</v>
      </c>
      <c r="C10" s="78" t="s">
        <v>142</v>
      </c>
      <c r="D10" s="70"/>
      <c r="E10" s="70">
        <v>1</v>
      </c>
      <c r="F10" s="70"/>
      <c r="G10" s="70">
        <v>3.2</v>
      </c>
      <c r="H10" s="70"/>
      <c r="I10" s="70"/>
      <c r="J10" s="70"/>
      <c r="K10" s="79"/>
      <c r="L10" s="79"/>
      <c r="M10" s="79">
        <v>27560</v>
      </c>
      <c r="N10" s="79">
        <f t="shared" si="0"/>
        <v>27560</v>
      </c>
      <c r="O10" s="68">
        <f>SUM(G10*M2)</f>
        <v>27557.222400000006</v>
      </c>
    </row>
    <row r="11" spans="1:20" x14ac:dyDescent="0.25">
      <c r="A11" s="70">
        <v>5</v>
      </c>
      <c r="B11" s="78" t="s">
        <v>17</v>
      </c>
      <c r="C11" s="78" t="s">
        <v>142</v>
      </c>
      <c r="D11" s="70"/>
      <c r="E11" s="70">
        <v>1</v>
      </c>
      <c r="F11" s="70"/>
      <c r="G11" s="70">
        <v>3.2</v>
      </c>
      <c r="H11" s="70"/>
      <c r="I11" s="70"/>
      <c r="J11" s="70"/>
      <c r="K11" s="79">
        <f>SUM(M11*10/100)</f>
        <v>2756</v>
      </c>
      <c r="L11" s="79"/>
      <c r="M11" s="79">
        <v>27560</v>
      </c>
      <c r="N11" s="79">
        <f t="shared" si="0"/>
        <v>27560</v>
      </c>
      <c r="O11" s="68">
        <f>SUM(G11*M2)</f>
        <v>27557.222400000006</v>
      </c>
    </row>
    <row r="12" spans="1:20" x14ac:dyDescent="0.25">
      <c r="A12" s="70">
        <v>6</v>
      </c>
      <c r="B12" s="78" t="s">
        <v>19</v>
      </c>
      <c r="C12" s="78" t="s">
        <v>143</v>
      </c>
      <c r="D12" s="70"/>
      <c r="E12" s="70">
        <v>1</v>
      </c>
      <c r="F12" s="70"/>
      <c r="G12" s="70">
        <v>2</v>
      </c>
      <c r="H12" s="70"/>
      <c r="I12" s="70"/>
      <c r="J12" s="70"/>
      <c r="K12" s="79">
        <f>SUM(M12*15/100)</f>
        <v>2583</v>
      </c>
      <c r="L12" s="79"/>
      <c r="M12" s="79">
        <v>17220</v>
      </c>
      <c r="N12" s="79">
        <f t="shared" si="0"/>
        <v>17220</v>
      </c>
      <c r="O12" s="68">
        <f>SUM(M2*G12)</f>
        <v>17223.264000000003</v>
      </c>
    </row>
    <row r="13" spans="1:20" ht="16.5" customHeight="1" x14ac:dyDescent="0.25">
      <c r="A13" s="70">
        <v>7</v>
      </c>
      <c r="B13" s="78" t="s">
        <v>20</v>
      </c>
      <c r="C13" s="78" t="s">
        <v>144</v>
      </c>
      <c r="D13" s="70"/>
      <c r="E13" s="70">
        <v>1</v>
      </c>
      <c r="F13" s="70"/>
      <c r="G13" s="70">
        <v>2.1</v>
      </c>
      <c r="H13" s="70"/>
      <c r="I13" s="70"/>
      <c r="J13" s="70"/>
      <c r="K13" s="79">
        <f>SUM(M13*7/100)</f>
        <v>1265.95</v>
      </c>
      <c r="L13" s="79"/>
      <c r="M13" s="79">
        <v>18085</v>
      </c>
      <c r="N13" s="79">
        <f t="shared" si="0"/>
        <v>18085</v>
      </c>
      <c r="O13" s="68">
        <f>SUM(M2*G13)</f>
        <v>18084.427200000006</v>
      </c>
    </row>
    <row r="14" spans="1:20" x14ac:dyDescent="0.25">
      <c r="A14" s="70">
        <v>8</v>
      </c>
      <c r="B14" s="78" t="s">
        <v>22</v>
      </c>
      <c r="C14" s="78" t="s">
        <v>142</v>
      </c>
      <c r="D14" s="70"/>
      <c r="E14" s="70">
        <v>1</v>
      </c>
      <c r="F14" s="70"/>
      <c r="G14" s="70">
        <v>2.1</v>
      </c>
      <c r="H14" s="70"/>
      <c r="I14" s="70"/>
      <c r="J14" s="70"/>
      <c r="K14" s="79">
        <f>SUM(M14*25/100)</f>
        <v>4521.25</v>
      </c>
      <c r="L14" s="79"/>
      <c r="M14" s="79">
        <v>18085</v>
      </c>
      <c r="N14" s="79">
        <f>SUM(E14*M14)</f>
        <v>18085</v>
      </c>
      <c r="O14" s="68">
        <f>SUM(M2*G14)</f>
        <v>18084.427200000006</v>
      </c>
      <c r="P14" s="80"/>
    </row>
    <row r="15" spans="1:20" ht="25.5" x14ac:dyDescent="0.25">
      <c r="A15" s="70">
        <v>9</v>
      </c>
      <c r="B15" s="78" t="s">
        <v>145</v>
      </c>
      <c r="C15" s="78" t="s">
        <v>146</v>
      </c>
      <c r="D15" s="70"/>
      <c r="E15" s="70">
        <v>1</v>
      </c>
      <c r="F15" s="70"/>
      <c r="G15" s="70">
        <v>1.6</v>
      </c>
      <c r="H15" s="70"/>
      <c r="I15" s="70"/>
      <c r="J15" s="70"/>
      <c r="K15" s="79"/>
      <c r="L15" s="79"/>
      <c r="M15" s="79">
        <v>13780</v>
      </c>
      <c r="N15" s="79">
        <f t="shared" si="0"/>
        <v>13780</v>
      </c>
      <c r="O15" s="68">
        <f>SUM(M2*G15)</f>
        <v>13778.611200000003</v>
      </c>
    </row>
    <row r="16" spans="1:20" s="77" customFormat="1" x14ac:dyDescent="0.25">
      <c r="A16" s="72"/>
      <c r="B16" s="73" t="s">
        <v>25</v>
      </c>
      <c r="C16" s="73"/>
      <c r="D16" s="72"/>
      <c r="E16" s="72">
        <f>SUM(E7:E15)</f>
        <v>9</v>
      </c>
      <c r="F16" s="72"/>
      <c r="G16" s="72"/>
      <c r="H16" s="72"/>
      <c r="I16" s="72"/>
      <c r="J16" s="72"/>
      <c r="K16" s="74">
        <f>SUM(K7:K15)</f>
        <v>15776.95</v>
      </c>
      <c r="L16" s="74"/>
      <c r="M16" s="74"/>
      <c r="N16" s="74">
        <f>SUM(N7:N15)</f>
        <v>217025</v>
      </c>
      <c r="O16" s="75"/>
      <c r="P16" s="75"/>
      <c r="Q16" s="75"/>
      <c r="R16" s="76"/>
      <c r="S16" s="76"/>
      <c r="T16" s="76"/>
    </row>
    <row r="17" spans="1:20" s="77" customFormat="1" x14ac:dyDescent="0.25">
      <c r="A17" s="72"/>
      <c r="B17" s="73" t="s">
        <v>27</v>
      </c>
      <c r="C17" s="73"/>
      <c r="D17" s="72"/>
      <c r="E17" s="72"/>
      <c r="F17" s="72"/>
      <c r="G17" s="72"/>
      <c r="H17" s="72"/>
      <c r="I17" s="72"/>
      <c r="J17" s="72"/>
      <c r="K17" s="74"/>
      <c r="L17" s="74"/>
      <c r="M17" s="79"/>
      <c r="N17" s="79"/>
      <c r="O17" s="75"/>
      <c r="P17" s="75"/>
      <c r="Q17" s="75"/>
      <c r="R17" s="76"/>
      <c r="S17" s="76"/>
      <c r="T17" s="76"/>
    </row>
    <row r="18" spans="1:20" x14ac:dyDescent="0.25">
      <c r="A18" s="70">
        <v>1</v>
      </c>
      <c r="B18" s="78" t="s">
        <v>28</v>
      </c>
      <c r="C18" s="78" t="s">
        <v>142</v>
      </c>
      <c r="D18" s="70"/>
      <c r="E18" s="70">
        <v>1</v>
      </c>
      <c r="F18" s="70"/>
      <c r="G18" s="70">
        <v>2.5</v>
      </c>
      <c r="H18" s="70"/>
      <c r="I18" s="70"/>
      <c r="J18" s="70"/>
      <c r="K18" s="79"/>
      <c r="L18" s="79"/>
      <c r="M18" s="79">
        <v>21530</v>
      </c>
      <c r="N18" s="79">
        <f>M18*E18</f>
        <v>21530</v>
      </c>
      <c r="O18" s="80">
        <f>SUM(G18*M2)</f>
        <v>21529.08</v>
      </c>
    </row>
    <row r="19" spans="1:20" x14ac:dyDescent="0.25">
      <c r="A19" s="70">
        <v>2</v>
      </c>
      <c r="B19" s="78" t="s">
        <v>147</v>
      </c>
      <c r="C19" s="78" t="s">
        <v>144</v>
      </c>
      <c r="D19" s="70"/>
      <c r="E19" s="70">
        <v>1</v>
      </c>
      <c r="F19" s="70"/>
      <c r="G19" s="70">
        <v>2</v>
      </c>
      <c r="H19" s="70"/>
      <c r="I19" s="70"/>
      <c r="J19" s="70"/>
      <c r="K19" s="79">
        <f>SUM(M19*15/100)</f>
        <v>2583</v>
      </c>
      <c r="L19" s="79"/>
      <c r="M19" s="79">
        <v>17220</v>
      </c>
      <c r="N19" s="79">
        <f>M19*E19</f>
        <v>17220</v>
      </c>
      <c r="O19" s="68">
        <f>SUM(M2*G19)</f>
        <v>17223.264000000003</v>
      </c>
    </row>
    <row r="20" spans="1:20" x14ac:dyDescent="0.25">
      <c r="A20" s="70">
        <v>3</v>
      </c>
      <c r="B20" s="78" t="s">
        <v>148</v>
      </c>
      <c r="C20" s="78" t="s">
        <v>144</v>
      </c>
      <c r="D20" s="70"/>
      <c r="E20" s="70">
        <v>1</v>
      </c>
      <c r="F20" s="70"/>
      <c r="G20" s="70">
        <v>2</v>
      </c>
      <c r="H20" s="70"/>
      <c r="I20" s="70"/>
      <c r="J20" s="70"/>
      <c r="K20" s="79">
        <f>SUM(M20*20/100)</f>
        <v>3444</v>
      </c>
      <c r="L20" s="79"/>
      <c r="M20" s="79">
        <v>17220</v>
      </c>
      <c r="N20" s="79">
        <f>M20*E20</f>
        <v>17220</v>
      </c>
      <c r="O20" s="68">
        <f>SUM(M2*G20)</f>
        <v>17223.264000000003</v>
      </c>
    </row>
    <row r="21" spans="1:20" s="77" customFormat="1" x14ac:dyDescent="0.25">
      <c r="A21" s="72"/>
      <c r="B21" s="73" t="s">
        <v>25</v>
      </c>
      <c r="C21" s="73"/>
      <c r="D21" s="72"/>
      <c r="E21" s="72">
        <f>SUM(E18:E20)</f>
        <v>3</v>
      </c>
      <c r="F21" s="72"/>
      <c r="G21" s="72"/>
      <c r="H21" s="72"/>
      <c r="I21" s="72"/>
      <c r="J21" s="72"/>
      <c r="K21" s="74">
        <f>SUM(K18:K20)</f>
        <v>6027</v>
      </c>
      <c r="L21" s="74"/>
      <c r="M21" s="74"/>
      <c r="N21" s="74">
        <f>SUM(N18:N20)</f>
        <v>55970</v>
      </c>
      <c r="O21" s="75"/>
      <c r="P21" s="75"/>
      <c r="Q21" s="75"/>
      <c r="R21" s="76"/>
      <c r="S21" s="76"/>
      <c r="T21" s="76"/>
    </row>
    <row r="22" spans="1:20" s="77" customFormat="1" x14ac:dyDescent="0.25">
      <c r="A22" s="72"/>
      <c r="B22" s="73" t="s">
        <v>149</v>
      </c>
      <c r="C22" s="73"/>
      <c r="D22" s="72"/>
      <c r="E22" s="72"/>
      <c r="F22" s="72"/>
      <c r="G22" s="72"/>
      <c r="H22" s="72"/>
      <c r="I22" s="72"/>
      <c r="J22" s="72"/>
      <c r="K22" s="74"/>
      <c r="L22" s="74"/>
      <c r="M22" s="79"/>
      <c r="N22" s="79"/>
      <c r="O22" s="75"/>
      <c r="P22" s="75"/>
      <c r="Q22" s="75"/>
      <c r="R22" s="76"/>
      <c r="S22" s="76"/>
      <c r="T22" s="76"/>
    </row>
    <row r="23" spans="1:20" x14ac:dyDescent="0.25">
      <c r="A23" s="70">
        <v>1</v>
      </c>
      <c r="B23" s="78" t="s">
        <v>34</v>
      </c>
      <c r="C23" s="78" t="s">
        <v>142</v>
      </c>
      <c r="D23" s="70"/>
      <c r="E23" s="70">
        <v>1</v>
      </c>
      <c r="F23" s="70"/>
      <c r="G23" s="70">
        <v>3.2</v>
      </c>
      <c r="H23" s="70"/>
      <c r="I23" s="70"/>
      <c r="J23" s="70"/>
      <c r="K23" s="79"/>
      <c r="L23" s="79"/>
      <c r="M23" s="79">
        <v>27560</v>
      </c>
      <c r="N23" s="79">
        <f>M23*E23</f>
        <v>27560</v>
      </c>
      <c r="O23" s="80">
        <f>SUM(G23*M2)</f>
        <v>27557.222400000006</v>
      </c>
    </row>
    <row r="24" spans="1:20" x14ac:dyDescent="0.25">
      <c r="A24" s="70">
        <v>2</v>
      </c>
      <c r="B24" s="78" t="s">
        <v>35</v>
      </c>
      <c r="C24" s="78" t="s">
        <v>144</v>
      </c>
      <c r="D24" s="70"/>
      <c r="E24" s="70">
        <v>1</v>
      </c>
      <c r="F24" s="70"/>
      <c r="G24" s="70">
        <v>2</v>
      </c>
      <c r="H24" s="70"/>
      <c r="I24" s="70"/>
      <c r="J24" s="70"/>
      <c r="K24" s="79"/>
      <c r="L24" s="79"/>
      <c r="M24" s="79">
        <v>17220</v>
      </c>
      <c r="N24" s="79">
        <f>M24*E24</f>
        <v>17220</v>
      </c>
      <c r="O24" s="68">
        <f>SUM(M2*G24)</f>
        <v>17223.264000000003</v>
      </c>
    </row>
    <row r="25" spans="1:20" s="77" customFormat="1" x14ac:dyDescent="0.25">
      <c r="A25" s="72"/>
      <c r="B25" s="73" t="s">
        <v>25</v>
      </c>
      <c r="C25" s="73"/>
      <c r="D25" s="72"/>
      <c r="E25" s="72">
        <f>SUM(E23:E24)</f>
        <v>2</v>
      </c>
      <c r="F25" s="72"/>
      <c r="G25" s="72"/>
      <c r="H25" s="72"/>
      <c r="I25" s="72"/>
      <c r="J25" s="72"/>
      <c r="K25" s="74">
        <f>SUM(K23:K24)</f>
        <v>0</v>
      </c>
      <c r="L25" s="74"/>
      <c r="M25" s="74"/>
      <c r="N25" s="74">
        <f>SUM(N23:N24)</f>
        <v>44780</v>
      </c>
      <c r="O25" s="75"/>
      <c r="P25" s="75"/>
      <c r="Q25" s="75"/>
      <c r="R25" s="76"/>
      <c r="S25" s="76"/>
      <c r="T25" s="76"/>
    </row>
    <row r="26" spans="1:20" s="77" customFormat="1" x14ac:dyDescent="0.25">
      <c r="A26" s="72"/>
      <c r="B26" s="73" t="s">
        <v>150</v>
      </c>
      <c r="C26" s="73"/>
      <c r="D26" s="72"/>
      <c r="E26" s="72"/>
      <c r="F26" s="72"/>
      <c r="G26" s="72"/>
      <c r="H26" s="72"/>
      <c r="I26" s="72"/>
      <c r="J26" s="72"/>
      <c r="K26" s="74"/>
      <c r="L26" s="74"/>
      <c r="M26" s="79"/>
      <c r="N26" s="79"/>
      <c r="O26" s="75"/>
      <c r="P26" s="75"/>
      <c r="Q26" s="75"/>
      <c r="R26" s="76"/>
      <c r="S26" s="76"/>
      <c r="T26" s="76"/>
    </row>
    <row r="27" spans="1:20" x14ac:dyDescent="0.25">
      <c r="A27" s="70">
        <v>1</v>
      </c>
      <c r="B27" s="78" t="s">
        <v>28</v>
      </c>
      <c r="C27" s="78" t="s">
        <v>142</v>
      </c>
      <c r="D27" s="70"/>
      <c r="E27" s="70">
        <v>1</v>
      </c>
      <c r="F27" s="70"/>
      <c r="G27" s="70">
        <v>2.4</v>
      </c>
      <c r="H27" s="70"/>
      <c r="I27" s="70"/>
      <c r="J27" s="70"/>
      <c r="K27" s="79">
        <f>SUM(M27*15/100)</f>
        <v>3100.5</v>
      </c>
      <c r="L27" s="79"/>
      <c r="M27" s="79">
        <v>20670</v>
      </c>
      <c r="N27" s="79">
        <f t="shared" ref="N27:N33" si="1">M27*E27</f>
        <v>20670</v>
      </c>
      <c r="O27" s="80">
        <f>SUM(M2*G27)</f>
        <v>20667.916800000003</v>
      </c>
    </row>
    <row r="28" spans="1:20" x14ac:dyDescent="0.25">
      <c r="A28" s="70">
        <v>2</v>
      </c>
      <c r="B28" s="78" t="s">
        <v>39</v>
      </c>
      <c r="C28" s="78" t="s">
        <v>142</v>
      </c>
      <c r="D28" s="70"/>
      <c r="E28" s="70">
        <v>1</v>
      </c>
      <c r="F28" s="70"/>
      <c r="G28" s="70">
        <v>0.9</v>
      </c>
      <c r="H28" s="70"/>
      <c r="I28" s="70"/>
      <c r="J28" s="70"/>
      <c r="K28" s="79">
        <f>SUM(M28*20/100)</f>
        <v>3721</v>
      </c>
      <c r="L28" s="79"/>
      <c r="M28" s="79">
        <v>18605</v>
      </c>
      <c r="N28" s="79">
        <f t="shared" si="1"/>
        <v>18605</v>
      </c>
      <c r="O28" s="80">
        <f>SUM(M27*G28)</f>
        <v>18603</v>
      </c>
    </row>
    <row r="29" spans="1:20" x14ac:dyDescent="0.25">
      <c r="A29" s="70">
        <v>3</v>
      </c>
      <c r="B29" s="78" t="s">
        <v>40</v>
      </c>
      <c r="C29" s="78" t="s">
        <v>151</v>
      </c>
      <c r="D29" s="70"/>
      <c r="E29" s="70">
        <v>1</v>
      </c>
      <c r="F29" s="70"/>
      <c r="G29" s="70">
        <v>1.9</v>
      </c>
      <c r="H29" s="70"/>
      <c r="I29" s="70"/>
      <c r="J29" s="70"/>
      <c r="K29" s="79">
        <f>SUM(M29*7/100)</f>
        <v>1145.55</v>
      </c>
      <c r="L29" s="79"/>
      <c r="M29" s="79">
        <v>16365</v>
      </c>
      <c r="N29" s="79">
        <f t="shared" si="1"/>
        <v>16365</v>
      </c>
      <c r="O29" s="80">
        <f>SUM(M2*G29)</f>
        <v>16362.100800000002</v>
      </c>
    </row>
    <row r="30" spans="1:20" x14ac:dyDescent="0.25">
      <c r="A30" s="70">
        <v>4</v>
      </c>
      <c r="B30" s="78" t="s">
        <v>152</v>
      </c>
      <c r="C30" s="78" t="s">
        <v>144</v>
      </c>
      <c r="D30" s="70"/>
      <c r="E30" s="70">
        <v>1</v>
      </c>
      <c r="F30" s="70"/>
      <c r="G30" s="70">
        <v>1.8</v>
      </c>
      <c r="H30" s="70"/>
      <c r="I30" s="70"/>
      <c r="J30" s="70"/>
      <c r="K30" s="79"/>
      <c r="L30" s="79"/>
      <c r="M30" s="79">
        <v>15505</v>
      </c>
      <c r="N30" s="79">
        <f>SUM(M30*E30)</f>
        <v>15505</v>
      </c>
      <c r="O30" s="80">
        <f>SUM(M2*G30)</f>
        <v>15500.937600000003</v>
      </c>
    </row>
    <row r="31" spans="1:20" ht="25.5" x14ac:dyDescent="0.25">
      <c r="A31" s="70">
        <v>5</v>
      </c>
      <c r="B31" s="78" t="s">
        <v>183</v>
      </c>
      <c r="C31" s="78" t="s">
        <v>143</v>
      </c>
      <c r="D31" s="70"/>
      <c r="E31" s="70">
        <v>3</v>
      </c>
      <c r="F31" s="70"/>
      <c r="G31" s="70">
        <v>1.75</v>
      </c>
      <c r="H31" s="70"/>
      <c r="I31" s="70"/>
      <c r="J31" s="70"/>
      <c r="K31" s="79">
        <f>SUM(M31*10/100)</f>
        <v>1507</v>
      </c>
      <c r="L31" s="79"/>
      <c r="M31" s="79">
        <v>15070</v>
      </c>
      <c r="N31" s="79">
        <f t="shared" si="1"/>
        <v>45210</v>
      </c>
      <c r="O31" s="80">
        <f>SUM(M2*G31)</f>
        <v>15070.356000000003</v>
      </c>
    </row>
    <row r="32" spans="1:20" ht="25.5" x14ac:dyDescent="0.25">
      <c r="A32" s="70">
        <v>6</v>
      </c>
      <c r="B32" s="78" t="s">
        <v>45</v>
      </c>
      <c r="C32" s="78" t="s">
        <v>146</v>
      </c>
      <c r="D32" s="70"/>
      <c r="E32" s="70">
        <v>2</v>
      </c>
      <c r="F32" s="70"/>
      <c r="G32" s="70">
        <v>1.6</v>
      </c>
      <c r="H32" s="70"/>
      <c r="I32" s="70"/>
      <c r="J32" s="70"/>
      <c r="K32" s="79">
        <f>SUM((M32*15/100)*2)</f>
        <v>4134</v>
      </c>
      <c r="L32" s="79"/>
      <c r="M32" s="79">
        <v>13780</v>
      </c>
      <c r="N32" s="79">
        <f t="shared" si="1"/>
        <v>27560</v>
      </c>
      <c r="O32" s="80">
        <f>SUM(M2*G32)</f>
        <v>13778.611200000003</v>
      </c>
    </row>
    <row r="33" spans="1:23" x14ac:dyDescent="0.25">
      <c r="A33" s="70">
        <v>7</v>
      </c>
      <c r="B33" s="78" t="s">
        <v>46</v>
      </c>
      <c r="C33" s="78" t="s">
        <v>153</v>
      </c>
      <c r="D33" s="70"/>
      <c r="E33" s="70">
        <v>11</v>
      </c>
      <c r="F33" s="70">
        <v>3</v>
      </c>
      <c r="G33" s="88">
        <v>1.8</v>
      </c>
      <c r="H33" s="88">
        <v>1.2</v>
      </c>
      <c r="I33" s="88">
        <v>1.58</v>
      </c>
      <c r="J33" s="88"/>
      <c r="K33" s="91">
        <f>M33*15/100+M33*10/100+M33*7/100</f>
        <v>3306.8666880000005</v>
      </c>
      <c r="L33" s="91">
        <f>M33/A4</f>
        <v>59.163883969465658</v>
      </c>
      <c r="M33" s="91">
        <f>SUM(A2*G33*H33*I33)</f>
        <v>10333.958400000001</v>
      </c>
      <c r="N33" s="79">
        <f t="shared" si="1"/>
        <v>113673.54240000002</v>
      </c>
      <c r="O33" s="80">
        <f>SUM(M2*G33)</f>
        <v>15500.937600000003</v>
      </c>
    </row>
    <row r="34" spans="1:23" x14ac:dyDescent="0.25">
      <c r="A34" s="70"/>
      <c r="B34" s="81" t="s">
        <v>49</v>
      </c>
      <c r="C34" s="81"/>
      <c r="D34" s="70"/>
      <c r="E34" s="70"/>
      <c r="F34" s="70"/>
      <c r="G34" s="70"/>
      <c r="H34" s="70"/>
      <c r="I34" s="70"/>
      <c r="J34" s="70"/>
      <c r="K34" s="79"/>
      <c r="L34" s="79"/>
      <c r="M34" s="79"/>
      <c r="N34" s="82"/>
      <c r="O34" s="83"/>
      <c r="P34" s="84"/>
      <c r="Q34" s="84"/>
      <c r="R34" s="84"/>
      <c r="S34" s="85"/>
      <c r="T34" s="68"/>
      <c r="U34" s="69"/>
      <c r="V34" s="69"/>
      <c r="W34" s="69"/>
    </row>
    <row r="35" spans="1:23" x14ac:dyDescent="0.25">
      <c r="A35" s="86" t="s">
        <v>154</v>
      </c>
      <c r="B35" s="78" t="s">
        <v>40</v>
      </c>
      <c r="C35" s="78" t="s">
        <v>151</v>
      </c>
      <c r="D35" s="70"/>
      <c r="E35" s="70">
        <v>2</v>
      </c>
      <c r="F35" s="70"/>
      <c r="G35" s="70">
        <v>1.9</v>
      </c>
      <c r="H35" s="70"/>
      <c r="I35" s="70"/>
      <c r="J35" s="70"/>
      <c r="K35" s="79">
        <f>SUM(Q35*J35/100)</f>
        <v>0</v>
      </c>
      <c r="L35" s="79"/>
      <c r="M35" s="79">
        <v>16365</v>
      </c>
      <c r="N35" s="79">
        <f>M35*E35</f>
        <v>32730</v>
      </c>
      <c r="O35" s="83">
        <f>M2*G35</f>
        <v>16362.100800000002</v>
      </c>
      <c r="P35" s="84"/>
      <c r="Q35" s="84"/>
      <c r="R35" s="84"/>
      <c r="S35" s="84"/>
      <c r="T35" s="68"/>
      <c r="U35" s="69"/>
      <c r="V35" s="69"/>
      <c r="W35" s="69"/>
    </row>
    <row r="36" spans="1:23" x14ac:dyDescent="0.25">
      <c r="A36" s="86" t="s">
        <v>155</v>
      </c>
      <c r="B36" s="78" t="s">
        <v>47</v>
      </c>
      <c r="C36" s="78" t="s">
        <v>153</v>
      </c>
      <c r="D36" s="70"/>
      <c r="E36" s="70">
        <v>6</v>
      </c>
      <c r="F36" s="70">
        <v>4</v>
      </c>
      <c r="G36" s="70">
        <v>1.8</v>
      </c>
      <c r="H36" s="70">
        <v>1.35</v>
      </c>
      <c r="I36" s="70">
        <v>1.58</v>
      </c>
      <c r="J36" s="70"/>
      <c r="K36" s="79">
        <f>SUM(Q36*J36/100)</f>
        <v>0</v>
      </c>
      <c r="L36" s="79">
        <f>M36/A4</f>
        <v>66.559369465648871</v>
      </c>
      <c r="M36" s="79">
        <f>SUM(A2*G36*H36*I36)</f>
        <v>11625.703200000002</v>
      </c>
      <c r="N36" s="79">
        <f>M36*E36</f>
        <v>69754.219200000007</v>
      </c>
      <c r="O36" s="83"/>
      <c r="P36" s="84"/>
      <c r="Q36" s="84"/>
      <c r="R36" s="84"/>
      <c r="S36" s="84"/>
      <c r="T36" s="68"/>
      <c r="U36" s="69"/>
      <c r="V36" s="69"/>
      <c r="W36" s="69"/>
    </row>
    <row r="37" spans="1:23" s="77" customFormat="1" x14ac:dyDescent="0.25">
      <c r="A37" s="72"/>
      <c r="B37" s="73" t="s">
        <v>25</v>
      </c>
      <c r="C37" s="73"/>
      <c r="D37" s="72"/>
      <c r="E37" s="72">
        <f>SUM(E27:E36)</f>
        <v>28</v>
      </c>
      <c r="F37" s="72"/>
      <c r="G37" s="72"/>
      <c r="H37" s="72"/>
      <c r="I37" s="72"/>
      <c r="J37" s="72"/>
      <c r="K37" s="74">
        <f>SUM(K27:K33)</f>
        <v>16914.916688000001</v>
      </c>
      <c r="L37" s="74"/>
      <c r="M37" s="74"/>
      <c r="N37" s="74">
        <f>SUM(N27:N36)</f>
        <v>360072.76160000003</v>
      </c>
      <c r="O37" s="87"/>
      <c r="P37" s="75"/>
      <c r="Q37" s="75"/>
      <c r="R37" s="76"/>
      <c r="S37" s="76"/>
      <c r="T37" s="76"/>
    </row>
    <row r="38" spans="1:23" s="77" customFormat="1" x14ac:dyDescent="0.25">
      <c r="A38" s="72"/>
      <c r="B38" s="73" t="s">
        <v>54</v>
      </c>
      <c r="C38" s="73"/>
      <c r="D38" s="72"/>
      <c r="E38" s="72"/>
      <c r="F38" s="72"/>
      <c r="G38" s="72"/>
      <c r="H38" s="72"/>
      <c r="I38" s="72"/>
      <c r="J38" s="72"/>
      <c r="K38" s="74"/>
      <c r="L38" s="74"/>
      <c r="M38" s="79"/>
      <c r="N38" s="79"/>
      <c r="O38" s="75"/>
      <c r="P38" s="75"/>
      <c r="Q38" s="75"/>
      <c r="R38" s="76"/>
      <c r="S38" s="76"/>
      <c r="T38" s="76"/>
    </row>
    <row r="39" spans="1:23" x14ac:dyDescent="0.25">
      <c r="A39" s="70">
        <v>1</v>
      </c>
      <c r="B39" s="78" t="s">
        <v>55</v>
      </c>
      <c r="C39" s="78" t="s">
        <v>142</v>
      </c>
      <c r="D39" s="70"/>
      <c r="E39" s="70">
        <v>1</v>
      </c>
      <c r="F39" s="70"/>
      <c r="G39" s="70">
        <v>3.4</v>
      </c>
      <c r="H39" s="70"/>
      <c r="I39" s="70"/>
      <c r="J39" s="70"/>
      <c r="K39" s="79">
        <f>SUM(M39*20/100)</f>
        <v>5856</v>
      </c>
      <c r="L39" s="79"/>
      <c r="M39" s="79">
        <v>29280</v>
      </c>
      <c r="N39" s="79">
        <f>M39*E39</f>
        <v>29280</v>
      </c>
      <c r="O39" s="80">
        <f>SUM(G39*M2)</f>
        <v>29279.548800000004</v>
      </c>
    </row>
    <row r="40" spans="1:23" x14ac:dyDescent="0.25">
      <c r="A40" s="70">
        <v>2</v>
      </c>
      <c r="B40" s="78" t="s">
        <v>44</v>
      </c>
      <c r="C40" s="78" t="s">
        <v>143</v>
      </c>
      <c r="D40" s="70"/>
      <c r="E40" s="70">
        <v>3</v>
      </c>
      <c r="F40" s="70"/>
      <c r="G40" s="70">
        <v>1.9</v>
      </c>
      <c r="H40" s="70"/>
      <c r="I40" s="70"/>
      <c r="J40" s="70"/>
      <c r="K40" s="79">
        <f>M40*25/100+M40*10/100+M40*20/100</f>
        <v>9003.5</v>
      </c>
      <c r="L40" s="79"/>
      <c r="M40" s="79">
        <v>16370</v>
      </c>
      <c r="N40" s="79">
        <f>M40*E40</f>
        <v>49110</v>
      </c>
      <c r="O40" s="80">
        <f>SUM(M2*G40)</f>
        <v>16362.100800000002</v>
      </c>
    </row>
    <row r="41" spans="1:23" s="77" customFormat="1" x14ac:dyDescent="0.25">
      <c r="A41" s="72"/>
      <c r="B41" s="73" t="s">
        <v>25</v>
      </c>
      <c r="C41" s="73"/>
      <c r="D41" s="72"/>
      <c r="E41" s="72">
        <f>SUM(E39:E40)</f>
        <v>4</v>
      </c>
      <c r="F41" s="72"/>
      <c r="G41" s="72"/>
      <c r="H41" s="72"/>
      <c r="I41" s="72"/>
      <c r="J41" s="72"/>
      <c r="K41" s="74">
        <f>SUM(K39:K40)</f>
        <v>14859.5</v>
      </c>
      <c r="L41" s="74"/>
      <c r="M41" s="74"/>
      <c r="N41" s="74">
        <f t="shared" ref="N41" si="2">SUM(N39:N40)</f>
        <v>78390</v>
      </c>
      <c r="O41" s="75"/>
      <c r="P41" s="75"/>
      <c r="Q41" s="75"/>
      <c r="R41" s="76"/>
      <c r="S41" s="76"/>
      <c r="T41" s="76"/>
    </row>
    <row r="42" spans="1:23" s="77" customFormat="1" x14ac:dyDescent="0.25">
      <c r="A42" s="72"/>
      <c r="B42" s="73" t="s">
        <v>57</v>
      </c>
      <c r="C42" s="73"/>
      <c r="D42" s="72"/>
      <c r="E42" s="72"/>
      <c r="F42" s="72"/>
      <c r="G42" s="72"/>
      <c r="H42" s="72"/>
      <c r="I42" s="72"/>
      <c r="J42" s="72"/>
      <c r="K42" s="74"/>
      <c r="L42" s="74"/>
      <c r="M42" s="79"/>
      <c r="N42" s="79"/>
      <c r="O42" s="75"/>
      <c r="P42" s="75"/>
      <c r="Q42" s="75"/>
      <c r="R42" s="76"/>
      <c r="S42" s="76"/>
      <c r="T42" s="76"/>
    </row>
    <row r="43" spans="1:23" s="96" customFormat="1" x14ac:dyDescent="0.25">
      <c r="A43" s="88">
        <v>1</v>
      </c>
      <c r="B43" s="89" t="s">
        <v>58</v>
      </c>
      <c r="C43" s="89" t="s">
        <v>142</v>
      </c>
      <c r="D43" s="90"/>
      <c r="E43" s="88">
        <v>1</v>
      </c>
      <c r="F43" s="88"/>
      <c r="G43" s="88">
        <v>2.4</v>
      </c>
      <c r="H43" s="88"/>
      <c r="I43" s="88"/>
      <c r="J43" s="88"/>
      <c r="K43" s="91"/>
      <c r="L43" s="91"/>
      <c r="M43" s="91">
        <v>20670</v>
      </c>
      <c r="N43" s="91">
        <f>M43*E43</f>
        <v>20670</v>
      </c>
      <c r="O43" s="92">
        <f>SUM(M2*G43)</f>
        <v>20667.916800000003</v>
      </c>
      <c r="P43" s="93"/>
      <c r="Q43" s="94"/>
      <c r="R43" s="95"/>
      <c r="S43" s="95"/>
      <c r="T43" s="95"/>
    </row>
    <row r="44" spans="1:23" x14ac:dyDescent="0.25">
      <c r="A44" s="70">
        <v>2</v>
      </c>
      <c r="B44" s="78" t="s">
        <v>59</v>
      </c>
      <c r="C44" s="78" t="s">
        <v>143</v>
      </c>
      <c r="D44" s="70"/>
      <c r="E44" s="70">
        <v>1</v>
      </c>
      <c r="F44" s="70"/>
      <c r="G44" s="70">
        <v>2</v>
      </c>
      <c r="H44" s="70"/>
      <c r="I44" s="70"/>
      <c r="J44" s="70"/>
      <c r="K44" s="79"/>
      <c r="L44" s="79"/>
      <c r="M44" s="79">
        <v>17220</v>
      </c>
      <c r="N44" s="79">
        <f>M44*E44</f>
        <v>17220</v>
      </c>
      <c r="O44" s="80">
        <f>SUM(M2*G44)</f>
        <v>17223.264000000003</v>
      </c>
    </row>
    <row r="45" spans="1:23" s="77" customFormat="1" x14ac:dyDescent="0.25">
      <c r="A45" s="72"/>
      <c r="B45" s="73" t="s">
        <v>25</v>
      </c>
      <c r="C45" s="73"/>
      <c r="D45" s="72"/>
      <c r="E45" s="72">
        <f>SUM(E43:E44)</f>
        <v>2</v>
      </c>
      <c r="F45" s="72"/>
      <c r="G45" s="72"/>
      <c r="H45" s="72"/>
      <c r="I45" s="72"/>
      <c r="J45" s="72"/>
      <c r="K45" s="74">
        <f>SUM(K43:K44)</f>
        <v>0</v>
      </c>
      <c r="L45" s="74"/>
      <c r="M45" s="74"/>
      <c r="N45" s="74">
        <f t="shared" ref="N45" si="3">SUM(N43:N44)</f>
        <v>37890</v>
      </c>
      <c r="O45" s="75"/>
      <c r="P45" s="75"/>
      <c r="Q45" s="75"/>
      <c r="R45" s="76"/>
      <c r="S45" s="76"/>
      <c r="T45" s="76"/>
    </row>
    <row r="46" spans="1:23" s="77" customFormat="1" x14ac:dyDescent="0.25">
      <c r="A46" s="72"/>
      <c r="B46" s="73" t="s">
        <v>62</v>
      </c>
      <c r="C46" s="73"/>
      <c r="D46" s="72"/>
      <c r="E46" s="72"/>
      <c r="F46" s="72"/>
      <c r="G46" s="72"/>
      <c r="H46" s="72"/>
      <c r="I46" s="72"/>
      <c r="J46" s="72"/>
      <c r="K46" s="74"/>
      <c r="L46" s="74"/>
      <c r="M46" s="79"/>
      <c r="N46" s="79"/>
      <c r="O46" s="75"/>
      <c r="P46" s="75"/>
      <c r="Q46" s="75"/>
      <c r="R46" s="76"/>
      <c r="S46" s="76"/>
      <c r="T46" s="76"/>
    </row>
    <row r="47" spans="1:23" x14ac:dyDescent="0.25">
      <c r="A47" s="70">
        <v>1</v>
      </c>
      <c r="B47" s="78" t="s">
        <v>40</v>
      </c>
      <c r="C47" s="78" t="s">
        <v>151</v>
      </c>
      <c r="D47" s="70"/>
      <c r="E47" s="70">
        <v>1</v>
      </c>
      <c r="F47" s="70"/>
      <c r="G47" s="88">
        <v>1.9</v>
      </c>
      <c r="H47" s="70"/>
      <c r="I47" s="70"/>
      <c r="J47" s="70"/>
      <c r="K47" s="79"/>
      <c r="L47" s="79"/>
      <c r="M47" s="79">
        <v>16365</v>
      </c>
      <c r="N47" s="79">
        <f>M47*E47</f>
        <v>16365</v>
      </c>
      <c r="O47" s="80">
        <f>SUM(M2*G47)</f>
        <v>16362.100800000002</v>
      </c>
    </row>
    <row r="48" spans="1:23" ht="25.5" x14ac:dyDescent="0.25">
      <c r="A48" s="70">
        <v>2</v>
      </c>
      <c r="B48" s="78" t="s">
        <v>156</v>
      </c>
      <c r="C48" s="78" t="s">
        <v>144</v>
      </c>
      <c r="D48" s="70"/>
      <c r="E48" s="70">
        <v>1</v>
      </c>
      <c r="F48" s="70"/>
      <c r="G48" s="70">
        <v>1.95</v>
      </c>
      <c r="H48" s="70"/>
      <c r="I48" s="70"/>
      <c r="J48" s="70"/>
      <c r="K48" s="79"/>
      <c r="L48" s="79"/>
      <c r="M48" s="79">
        <v>16790</v>
      </c>
      <c r="N48" s="79">
        <f>M48*E48</f>
        <v>16790</v>
      </c>
      <c r="O48" s="68">
        <f>SUM(M2*G48)</f>
        <v>16792.682400000002</v>
      </c>
    </row>
    <row r="49" spans="1:20" ht="25.5" x14ac:dyDescent="0.25">
      <c r="A49" s="70">
        <v>3</v>
      </c>
      <c r="B49" s="78" t="s">
        <v>65</v>
      </c>
      <c r="C49" s="78" t="s">
        <v>153</v>
      </c>
      <c r="D49" s="70"/>
      <c r="E49" s="70">
        <v>7</v>
      </c>
      <c r="F49" s="70">
        <v>5</v>
      </c>
      <c r="G49" s="70">
        <v>1.8</v>
      </c>
      <c r="H49" s="70">
        <v>1.54</v>
      </c>
      <c r="I49" s="70">
        <v>1.58</v>
      </c>
      <c r="J49" s="70"/>
      <c r="K49" s="79">
        <f>M49*10/100+M49*10/100+M49*20/100+M49*7/100+M49*20/100</f>
        <v>8885.4818976000042</v>
      </c>
      <c r="L49" s="79">
        <f>M49/A4</f>
        <v>75.926984427480946</v>
      </c>
      <c r="M49" s="79">
        <f>A2*G49*H49*I49</f>
        <v>13261.913280000004</v>
      </c>
      <c r="N49" s="79">
        <f>M49*E49</f>
        <v>92833.392960000027</v>
      </c>
    </row>
    <row r="50" spans="1:20" ht="25.5" x14ac:dyDescent="0.25">
      <c r="A50" s="70">
        <v>4</v>
      </c>
      <c r="B50" s="78" t="s">
        <v>65</v>
      </c>
      <c r="C50" s="78" t="s">
        <v>153</v>
      </c>
      <c r="D50" s="70"/>
      <c r="E50" s="70">
        <v>1</v>
      </c>
      <c r="F50" s="70">
        <v>4</v>
      </c>
      <c r="G50" s="70">
        <v>1.8</v>
      </c>
      <c r="H50" s="70">
        <v>1.35</v>
      </c>
      <c r="I50" s="70">
        <v>1.58</v>
      </c>
      <c r="J50" s="70"/>
      <c r="K50" s="79"/>
      <c r="L50" s="79">
        <f>M50/A4</f>
        <v>66.559369465648871</v>
      </c>
      <c r="M50" s="79">
        <f>A$2*G50*H50*I50</f>
        <v>11625.703200000002</v>
      </c>
      <c r="N50" s="79">
        <f>M50*E50</f>
        <v>11625.703200000002</v>
      </c>
    </row>
    <row r="51" spans="1:20" ht="25.5" x14ac:dyDescent="0.25">
      <c r="A51" s="70">
        <v>5</v>
      </c>
      <c r="B51" s="78" t="s">
        <v>65</v>
      </c>
      <c r="C51" s="78" t="s">
        <v>153</v>
      </c>
      <c r="D51" s="70"/>
      <c r="E51" s="70">
        <v>1</v>
      </c>
      <c r="F51" s="70">
        <v>3</v>
      </c>
      <c r="G51" s="70">
        <v>1.8</v>
      </c>
      <c r="H51" s="70">
        <v>1.2</v>
      </c>
      <c r="I51" s="70">
        <v>1.58</v>
      </c>
      <c r="J51" s="70"/>
      <c r="K51" s="79"/>
      <c r="L51" s="79">
        <f>M51/A4</f>
        <v>59.163883969465658</v>
      </c>
      <c r="M51" s="79">
        <f>SUM(A2*G51*H51*I51)</f>
        <v>10333.958400000001</v>
      </c>
      <c r="N51" s="79">
        <f>SUM(M51*E51)</f>
        <v>10333.958400000001</v>
      </c>
    </row>
    <row r="52" spans="1:20" s="77" customFormat="1" x14ac:dyDescent="0.25">
      <c r="A52" s="72"/>
      <c r="B52" s="73" t="s">
        <v>25</v>
      </c>
      <c r="C52" s="73"/>
      <c r="D52" s="72"/>
      <c r="E52" s="72">
        <f>SUM(E47:E51)</f>
        <v>11</v>
      </c>
      <c r="F52" s="72"/>
      <c r="G52" s="72"/>
      <c r="H52" s="72"/>
      <c r="I52" s="72"/>
      <c r="J52" s="72"/>
      <c r="K52" s="74">
        <f>SUM(K47:K51)</f>
        <v>8885.4818976000042</v>
      </c>
      <c r="L52" s="74"/>
      <c r="M52" s="74"/>
      <c r="N52" s="74">
        <f>SUM(N47:N51)</f>
        <v>147948.05456000002</v>
      </c>
      <c r="O52" s="87"/>
      <c r="P52" s="75"/>
      <c r="Q52" s="75"/>
      <c r="R52" s="76"/>
      <c r="S52" s="76"/>
      <c r="T52" s="76"/>
    </row>
    <row r="53" spans="1:20" s="77" customFormat="1" x14ac:dyDescent="0.25">
      <c r="A53" s="72"/>
      <c r="B53" s="73" t="s">
        <v>67</v>
      </c>
      <c r="C53" s="73"/>
      <c r="D53" s="72"/>
      <c r="E53" s="72"/>
      <c r="F53" s="72"/>
      <c r="G53" s="72"/>
      <c r="H53" s="72"/>
      <c r="I53" s="72"/>
      <c r="J53" s="72"/>
      <c r="K53" s="74"/>
      <c r="L53" s="74"/>
      <c r="M53" s="79"/>
      <c r="N53" s="79"/>
      <c r="O53" s="75"/>
      <c r="P53" s="75"/>
      <c r="Q53" s="75"/>
      <c r="R53" s="76"/>
      <c r="S53" s="76"/>
      <c r="T53" s="76"/>
    </row>
    <row r="54" spans="1:20" s="77" customFormat="1" x14ac:dyDescent="0.25">
      <c r="A54" s="70">
        <v>1</v>
      </c>
      <c r="B54" s="78" t="s">
        <v>184</v>
      </c>
      <c r="C54" s="78" t="s">
        <v>143</v>
      </c>
      <c r="D54" s="72"/>
      <c r="E54" s="70">
        <v>1</v>
      </c>
      <c r="F54" s="70"/>
      <c r="G54" s="70"/>
      <c r="H54" s="70"/>
      <c r="I54" s="70">
        <v>1.1000000000000001</v>
      </c>
      <c r="J54" s="70"/>
      <c r="K54" s="79"/>
      <c r="L54" s="79"/>
      <c r="M54" s="79">
        <v>17050</v>
      </c>
      <c r="N54" s="79">
        <f>M54*E54</f>
        <v>17050</v>
      </c>
      <c r="O54" s="75">
        <f>O55*I54</f>
        <v>17051.031360000004</v>
      </c>
      <c r="P54" s="75"/>
      <c r="Q54" s="75"/>
      <c r="R54" s="76"/>
      <c r="S54" s="76"/>
      <c r="T54" s="76"/>
    </row>
    <row r="55" spans="1:20" x14ac:dyDescent="0.25">
      <c r="A55" s="70">
        <v>2</v>
      </c>
      <c r="B55" s="78" t="s">
        <v>68</v>
      </c>
      <c r="C55" s="78" t="s">
        <v>143</v>
      </c>
      <c r="D55" s="70"/>
      <c r="E55" s="70">
        <v>3</v>
      </c>
      <c r="F55" s="70"/>
      <c r="G55" s="70">
        <v>1.8</v>
      </c>
      <c r="H55" s="70"/>
      <c r="I55" s="70"/>
      <c r="J55" s="70"/>
      <c r="K55" s="79">
        <f>M55*10/100+M55*20/100</f>
        <v>4650</v>
      </c>
      <c r="L55" s="79"/>
      <c r="M55" s="91">
        <v>15500</v>
      </c>
      <c r="N55" s="79">
        <f>M55*E55</f>
        <v>46500</v>
      </c>
      <c r="O55" s="68">
        <f>SUM(M2*G55)</f>
        <v>15500.937600000003</v>
      </c>
    </row>
    <row r="56" spans="1:20" s="77" customFormat="1" x14ac:dyDescent="0.25">
      <c r="A56" s="72"/>
      <c r="B56" s="73" t="s">
        <v>25</v>
      </c>
      <c r="C56" s="73"/>
      <c r="D56" s="72"/>
      <c r="E56" s="72">
        <f>SUM(E54:E55)</f>
        <v>4</v>
      </c>
      <c r="F56" s="72"/>
      <c r="G56" s="72"/>
      <c r="H56" s="72"/>
      <c r="I56" s="72"/>
      <c r="J56" s="72"/>
      <c r="K56" s="74">
        <f>SUM(K55:K55)</f>
        <v>4650</v>
      </c>
      <c r="L56" s="74"/>
      <c r="M56" s="74"/>
      <c r="N56" s="74">
        <f>SUM(N54:N55)</f>
        <v>63550</v>
      </c>
      <c r="O56" s="75"/>
      <c r="P56" s="75"/>
      <c r="Q56" s="75"/>
      <c r="R56" s="76"/>
      <c r="S56" s="76"/>
      <c r="T56" s="76"/>
    </row>
    <row r="57" spans="1:20" s="77" customFormat="1" ht="24" customHeight="1" x14ac:dyDescent="0.25">
      <c r="A57" s="72"/>
      <c r="B57" s="73" t="s">
        <v>70</v>
      </c>
      <c r="C57" s="73"/>
      <c r="D57" s="72"/>
      <c r="E57" s="72"/>
      <c r="F57" s="72"/>
      <c r="G57" s="72"/>
      <c r="H57" s="72"/>
      <c r="I57" s="72"/>
      <c r="J57" s="72"/>
      <c r="K57" s="74"/>
      <c r="L57" s="74"/>
      <c r="M57" s="79"/>
      <c r="N57" s="79"/>
      <c r="O57" s="75"/>
      <c r="P57" s="75"/>
      <c r="Q57" s="75"/>
      <c r="R57" s="76"/>
      <c r="S57" s="76"/>
      <c r="T57" s="76"/>
    </row>
    <row r="58" spans="1:20" x14ac:dyDescent="0.25">
      <c r="A58" s="70">
        <v>1</v>
      </c>
      <c r="B58" s="78" t="s">
        <v>71</v>
      </c>
      <c r="C58" s="78" t="s">
        <v>142</v>
      </c>
      <c r="D58" s="70"/>
      <c r="E58" s="70">
        <v>1</v>
      </c>
      <c r="F58" s="70"/>
      <c r="G58" s="70">
        <v>2.25</v>
      </c>
      <c r="H58" s="70"/>
      <c r="I58" s="70"/>
      <c r="J58" s="70"/>
      <c r="K58" s="79">
        <f>SUM(M58*20/100)</f>
        <v>3875</v>
      </c>
      <c r="L58" s="79"/>
      <c r="M58" s="79">
        <v>19375</v>
      </c>
      <c r="N58" s="79">
        <f>M58*E58</f>
        <v>19375</v>
      </c>
      <c r="O58" s="80">
        <f>SUM(M2*G58)</f>
        <v>19376.172000000002</v>
      </c>
    </row>
    <row r="59" spans="1:20" x14ac:dyDescent="0.25">
      <c r="A59" s="70">
        <v>2</v>
      </c>
      <c r="B59" s="97" t="s">
        <v>73</v>
      </c>
      <c r="C59" s="113" t="s">
        <v>143</v>
      </c>
      <c r="D59" s="70"/>
      <c r="E59" s="70">
        <v>1</v>
      </c>
      <c r="F59" s="70"/>
      <c r="G59" s="70">
        <v>1.9</v>
      </c>
      <c r="H59" s="70"/>
      <c r="I59" s="70"/>
      <c r="J59" s="70"/>
      <c r="K59" s="79">
        <f>SUM(M59*10/100)</f>
        <v>1636.5</v>
      </c>
      <c r="L59" s="79"/>
      <c r="M59" s="79">
        <v>16365</v>
      </c>
      <c r="N59" s="79">
        <f>M59*E59</f>
        <v>16365</v>
      </c>
      <c r="O59" s="80">
        <f>SUM(M2*G59)</f>
        <v>16362.100800000002</v>
      </c>
    </row>
    <row r="60" spans="1:20" s="77" customFormat="1" x14ac:dyDescent="0.25">
      <c r="A60" s="72"/>
      <c r="B60" s="73" t="s">
        <v>25</v>
      </c>
      <c r="C60" s="73"/>
      <c r="D60" s="72"/>
      <c r="E60" s="72">
        <f>SUM(E58:E59)</f>
        <v>2</v>
      </c>
      <c r="F60" s="72"/>
      <c r="G60" s="72"/>
      <c r="H60" s="72"/>
      <c r="I60" s="72"/>
      <c r="J60" s="72"/>
      <c r="K60" s="74">
        <f>SUM(K58:K59)</f>
        <v>5511.5</v>
      </c>
      <c r="L60" s="74"/>
      <c r="M60" s="74"/>
      <c r="N60" s="74">
        <f t="shared" ref="N60" si="4">SUM(N58:N59)</f>
        <v>35740</v>
      </c>
      <c r="O60" s="75"/>
      <c r="P60" s="75"/>
      <c r="Q60" s="75"/>
      <c r="R60" s="76"/>
      <c r="S60" s="76"/>
      <c r="T60" s="76"/>
    </row>
    <row r="61" spans="1:20" s="77" customFormat="1" x14ac:dyDescent="0.25">
      <c r="A61" s="72"/>
      <c r="B61" s="73" t="s">
        <v>76</v>
      </c>
      <c r="C61" s="73"/>
      <c r="D61" s="72"/>
      <c r="E61" s="72"/>
      <c r="F61" s="72"/>
      <c r="G61" s="72"/>
      <c r="H61" s="72"/>
      <c r="I61" s="72"/>
      <c r="J61" s="72"/>
      <c r="K61" s="74"/>
      <c r="L61" s="74"/>
      <c r="M61" s="79"/>
      <c r="N61" s="79"/>
      <c r="O61" s="75"/>
      <c r="P61" s="75"/>
      <c r="Q61" s="75"/>
      <c r="R61" s="76"/>
      <c r="S61" s="76"/>
      <c r="T61" s="76"/>
    </row>
    <row r="62" spans="1:20" x14ac:dyDescent="0.25">
      <c r="A62" s="70">
        <v>1</v>
      </c>
      <c r="B62" s="78" t="s">
        <v>77</v>
      </c>
      <c r="C62" s="78" t="s">
        <v>142</v>
      </c>
      <c r="D62" s="70"/>
      <c r="E62" s="70">
        <v>1</v>
      </c>
      <c r="F62" s="70"/>
      <c r="G62" s="70">
        <v>2.2999999999999998</v>
      </c>
      <c r="H62" s="70"/>
      <c r="I62" s="70"/>
      <c r="J62" s="70"/>
      <c r="K62" s="79">
        <f>SUM(M62*20/100)</f>
        <v>3961</v>
      </c>
      <c r="L62" s="79"/>
      <c r="M62" s="79">
        <v>19805</v>
      </c>
      <c r="N62" s="79">
        <f>M62*E62</f>
        <v>19805</v>
      </c>
      <c r="O62" s="80">
        <f>SUM(M2*G62)</f>
        <v>19806.7536</v>
      </c>
    </row>
    <row r="63" spans="1:20" x14ac:dyDescent="0.25">
      <c r="A63" s="70">
        <v>2</v>
      </c>
      <c r="B63" s="78" t="s">
        <v>78</v>
      </c>
      <c r="C63" s="78" t="s">
        <v>153</v>
      </c>
      <c r="D63" s="70"/>
      <c r="E63" s="70">
        <v>12</v>
      </c>
      <c r="F63" s="70">
        <v>3</v>
      </c>
      <c r="G63" s="70">
        <v>1.8</v>
      </c>
      <c r="H63" s="70">
        <v>1.2</v>
      </c>
      <c r="I63" s="70">
        <v>1.58</v>
      </c>
      <c r="J63" s="70"/>
      <c r="K63" s="79">
        <f>M63*25/100*2+M63*20/100*7+M63*15/100+M63*10/100*2</f>
        <v>23251.4064</v>
      </c>
      <c r="L63" s="79">
        <f>M63/A4</f>
        <v>59.163883969465658</v>
      </c>
      <c r="M63" s="79">
        <f>SUM(A2*G63*H63*I63)</f>
        <v>10333.958400000001</v>
      </c>
      <c r="N63" s="79">
        <f>M63*E63</f>
        <v>124007.50080000001</v>
      </c>
    </row>
    <row r="64" spans="1:20" x14ac:dyDescent="0.25">
      <c r="A64" s="70">
        <v>3</v>
      </c>
      <c r="B64" s="78" t="s">
        <v>79</v>
      </c>
      <c r="C64" s="78"/>
      <c r="D64" s="70"/>
      <c r="E64" s="70">
        <v>1</v>
      </c>
      <c r="F64" s="70"/>
      <c r="G64" s="70"/>
      <c r="H64" s="70"/>
      <c r="I64" s="70"/>
      <c r="J64" s="98"/>
      <c r="K64" s="79">
        <f>SUM(M64*10/100)</f>
        <v>710</v>
      </c>
      <c r="L64" s="79"/>
      <c r="M64" s="79">
        <v>7100</v>
      </c>
      <c r="N64" s="79">
        <f>M64*E64</f>
        <v>7100</v>
      </c>
      <c r="O64" s="99"/>
    </row>
    <row r="65" spans="1:20" s="77" customFormat="1" x14ac:dyDescent="0.25">
      <c r="A65" s="72"/>
      <c r="B65" s="73" t="s">
        <v>25</v>
      </c>
      <c r="C65" s="73"/>
      <c r="D65" s="72"/>
      <c r="E65" s="72">
        <f>SUM(E62:E64)</f>
        <v>14</v>
      </c>
      <c r="F65" s="72"/>
      <c r="G65" s="72"/>
      <c r="H65" s="72"/>
      <c r="I65" s="72"/>
      <c r="J65" s="72"/>
      <c r="K65" s="74">
        <f>SUM(K62:K64)</f>
        <v>27922.4064</v>
      </c>
      <c r="L65" s="74"/>
      <c r="M65" s="74"/>
      <c r="N65" s="74">
        <f>SUM(N62:N64)</f>
        <v>150912.50080000001</v>
      </c>
      <c r="O65" s="75"/>
      <c r="P65" s="75"/>
      <c r="Q65" s="75"/>
      <c r="R65" s="76"/>
      <c r="S65" s="76"/>
      <c r="T65" s="76"/>
    </row>
    <row r="66" spans="1:20" s="77" customFormat="1" ht="25.5" x14ac:dyDescent="0.25">
      <c r="A66" s="72"/>
      <c r="B66" s="73" t="s">
        <v>157</v>
      </c>
      <c r="C66" s="73"/>
      <c r="D66" s="72"/>
      <c r="E66" s="72"/>
      <c r="F66" s="72"/>
      <c r="G66" s="72"/>
      <c r="H66" s="72"/>
      <c r="I66" s="72"/>
      <c r="J66" s="72"/>
      <c r="K66" s="74"/>
      <c r="L66" s="74"/>
      <c r="M66" s="79"/>
      <c r="N66" s="79"/>
      <c r="O66" s="75"/>
      <c r="P66" s="75"/>
      <c r="Q66" s="75"/>
      <c r="R66" s="76"/>
      <c r="S66" s="76"/>
      <c r="T66" s="76"/>
    </row>
    <row r="67" spans="1:20" x14ac:dyDescent="0.25">
      <c r="A67" s="70">
        <v>1</v>
      </c>
      <c r="B67" s="78" t="s">
        <v>77</v>
      </c>
      <c r="C67" s="78" t="s">
        <v>142</v>
      </c>
      <c r="D67" s="70"/>
      <c r="E67" s="70">
        <v>1</v>
      </c>
      <c r="F67" s="70"/>
      <c r="G67" s="70">
        <v>2.2999999999999998</v>
      </c>
      <c r="H67" s="70"/>
      <c r="I67" s="70"/>
      <c r="J67" s="70"/>
      <c r="K67" s="79"/>
      <c r="L67" s="79"/>
      <c r="M67" s="79">
        <v>19805</v>
      </c>
      <c r="N67" s="79">
        <f t="shared" ref="N67:N76" si="5">M67*E67</f>
        <v>19805</v>
      </c>
      <c r="O67" s="80">
        <f>SUM(M2*G67)</f>
        <v>19806.7536</v>
      </c>
    </row>
    <row r="68" spans="1:20" x14ac:dyDescent="0.25">
      <c r="A68" s="70">
        <v>3</v>
      </c>
      <c r="B68" s="78" t="s">
        <v>82</v>
      </c>
      <c r="C68" s="78" t="s">
        <v>143</v>
      </c>
      <c r="D68" s="70"/>
      <c r="E68" s="70">
        <v>1</v>
      </c>
      <c r="F68" s="70"/>
      <c r="G68" s="70">
        <v>1.85</v>
      </c>
      <c r="H68" s="70"/>
      <c r="I68" s="70"/>
      <c r="J68" s="70"/>
      <c r="K68" s="79"/>
      <c r="L68" s="79"/>
      <c r="M68" s="79">
        <v>15930</v>
      </c>
      <c r="N68" s="79">
        <f>M68*E68</f>
        <v>15930</v>
      </c>
      <c r="O68" s="80">
        <f>SUM(M2*G68)</f>
        <v>15931.519200000004</v>
      </c>
    </row>
    <row r="69" spans="1:20" x14ac:dyDescent="0.25">
      <c r="A69" s="70">
        <v>4</v>
      </c>
      <c r="B69" s="78" t="s">
        <v>78</v>
      </c>
      <c r="C69" s="78" t="s">
        <v>153</v>
      </c>
      <c r="D69" s="70"/>
      <c r="E69" s="70">
        <v>5</v>
      </c>
      <c r="F69" s="70">
        <v>3</v>
      </c>
      <c r="G69" s="70">
        <v>1.8</v>
      </c>
      <c r="H69" s="70">
        <v>1.2</v>
      </c>
      <c r="I69" s="70">
        <v>1.58</v>
      </c>
      <c r="J69" s="70"/>
      <c r="K69" s="79">
        <f>SUM(M69*25/100,M69*20/100*2,M69*10/100)</f>
        <v>7750.4688000000015</v>
      </c>
      <c r="L69" s="79">
        <f>M69/A4</f>
        <v>59.163883969465658</v>
      </c>
      <c r="M69" s="79">
        <f>A$2*G69*H69*I69</f>
        <v>10333.958400000001</v>
      </c>
      <c r="N69" s="79">
        <f>M69*E69</f>
        <v>51669.792000000009</v>
      </c>
    </row>
    <row r="70" spans="1:20" x14ac:dyDescent="0.25">
      <c r="A70" s="70">
        <v>5</v>
      </c>
      <c r="B70" s="78" t="s">
        <v>195</v>
      </c>
      <c r="C70" s="78" t="s">
        <v>153</v>
      </c>
      <c r="D70" s="70"/>
      <c r="E70" s="70">
        <v>4</v>
      </c>
      <c r="F70" s="70">
        <v>3</v>
      </c>
      <c r="G70" s="70">
        <v>1.8</v>
      </c>
      <c r="H70" s="70">
        <v>1.2</v>
      </c>
      <c r="I70" s="70">
        <v>1.58</v>
      </c>
      <c r="J70" s="70"/>
      <c r="K70" s="79"/>
      <c r="L70" s="79">
        <f>M70/A4</f>
        <v>59.163883969465658</v>
      </c>
      <c r="M70" s="79">
        <f>A$2*G70*H70*I70</f>
        <v>10333.958400000001</v>
      </c>
      <c r="N70" s="79">
        <f t="shared" si="5"/>
        <v>41335.833600000005</v>
      </c>
    </row>
    <row r="71" spans="1:20" x14ac:dyDescent="0.25">
      <c r="A71" s="70">
        <v>6</v>
      </c>
      <c r="B71" s="78" t="s">
        <v>194</v>
      </c>
      <c r="C71" s="78" t="s">
        <v>153</v>
      </c>
      <c r="D71" s="70"/>
      <c r="E71" s="70">
        <v>1</v>
      </c>
      <c r="F71" s="70"/>
      <c r="G71" s="70"/>
      <c r="H71" s="70"/>
      <c r="I71" s="70"/>
      <c r="J71" s="70"/>
      <c r="K71" s="79"/>
      <c r="L71" s="79"/>
      <c r="M71" s="79">
        <v>7100</v>
      </c>
      <c r="N71" s="79">
        <f t="shared" si="5"/>
        <v>7100</v>
      </c>
    </row>
    <row r="72" spans="1:20" s="104" customFormat="1" x14ac:dyDescent="0.25">
      <c r="A72" s="70">
        <v>7</v>
      </c>
      <c r="B72" s="97" t="s">
        <v>84</v>
      </c>
      <c r="C72" s="97" t="s">
        <v>153</v>
      </c>
      <c r="D72" s="98"/>
      <c r="E72" s="98">
        <v>1</v>
      </c>
      <c r="F72" s="98">
        <v>6</v>
      </c>
      <c r="G72" s="98">
        <v>1.8</v>
      </c>
      <c r="H72" s="98">
        <v>1.8</v>
      </c>
      <c r="I72" s="98">
        <v>1.58</v>
      </c>
      <c r="J72" s="98"/>
      <c r="K72" s="100">
        <f>SUM(M72*20/100)</f>
        <v>3100.1875200000004</v>
      </c>
      <c r="L72" s="79">
        <f>M72/A4</f>
        <v>88.745825954198494</v>
      </c>
      <c r="M72" s="100">
        <f>A2*G72*H72*I72</f>
        <v>15500.937600000003</v>
      </c>
      <c r="N72" s="100">
        <f t="shared" si="5"/>
        <v>15500.937600000003</v>
      </c>
      <c r="O72" s="101"/>
      <c r="P72" s="101"/>
      <c r="Q72" s="102"/>
      <c r="R72" s="103"/>
      <c r="S72" s="103"/>
      <c r="T72" s="103"/>
    </row>
    <row r="73" spans="1:20" x14ac:dyDescent="0.25">
      <c r="A73" s="70">
        <v>8</v>
      </c>
      <c r="B73" s="97" t="s">
        <v>107</v>
      </c>
      <c r="C73" s="97" t="s">
        <v>153</v>
      </c>
      <c r="D73" s="98"/>
      <c r="E73" s="98">
        <v>3</v>
      </c>
      <c r="F73" s="98">
        <v>5</v>
      </c>
      <c r="G73" s="98">
        <v>1.8</v>
      </c>
      <c r="H73" s="98">
        <v>1.54</v>
      </c>
      <c r="I73" s="98">
        <v>1.58</v>
      </c>
      <c r="J73" s="98"/>
      <c r="K73" s="100">
        <f>SUM(M73*7/100*2)</f>
        <v>1856.6678592000005</v>
      </c>
      <c r="L73" s="79">
        <f>M73/A4</f>
        <v>75.926984427480946</v>
      </c>
      <c r="M73" s="100">
        <f>A2*G73*H73*I73</f>
        <v>13261.913280000004</v>
      </c>
      <c r="N73" s="100">
        <f t="shared" si="5"/>
        <v>39785.739840000009</v>
      </c>
      <c r="O73" s="101"/>
      <c r="P73" s="101"/>
    </row>
    <row r="74" spans="1:20" x14ac:dyDescent="0.25">
      <c r="A74" s="70">
        <v>9</v>
      </c>
      <c r="B74" s="97" t="s">
        <v>86</v>
      </c>
      <c r="C74" s="97" t="s">
        <v>153</v>
      </c>
      <c r="D74" s="98"/>
      <c r="E74" s="98">
        <v>1</v>
      </c>
      <c r="F74" s="98">
        <v>6</v>
      </c>
      <c r="G74" s="98">
        <v>1.8</v>
      </c>
      <c r="H74" s="98">
        <v>1.8</v>
      </c>
      <c r="I74" s="98">
        <v>1.58</v>
      </c>
      <c r="J74" s="98"/>
      <c r="K74" s="100">
        <f>SUM(M74*20/100)</f>
        <v>3100.1875200000004</v>
      </c>
      <c r="L74" s="79">
        <f>M74/A4</f>
        <v>88.745825954198494</v>
      </c>
      <c r="M74" s="100">
        <f>A2*G74*H74*I74</f>
        <v>15500.937600000003</v>
      </c>
      <c r="N74" s="100">
        <f t="shared" si="5"/>
        <v>15500.937600000003</v>
      </c>
      <c r="O74" s="101"/>
      <c r="P74" s="101"/>
    </row>
    <row r="75" spans="1:20" x14ac:dyDescent="0.25">
      <c r="A75" s="70">
        <v>10</v>
      </c>
      <c r="B75" s="97" t="s">
        <v>87</v>
      </c>
      <c r="C75" s="97" t="s">
        <v>153</v>
      </c>
      <c r="D75" s="98"/>
      <c r="E75" s="98">
        <v>1</v>
      </c>
      <c r="F75" s="98">
        <v>4</v>
      </c>
      <c r="G75" s="98">
        <v>1.8</v>
      </c>
      <c r="H75" s="98">
        <v>1.35</v>
      </c>
      <c r="I75" s="98">
        <v>1.58</v>
      </c>
      <c r="J75" s="98"/>
      <c r="K75" s="100">
        <f>SUM(M75*7/100)</f>
        <v>813.79922400000009</v>
      </c>
      <c r="L75" s="79">
        <f>M75/A4</f>
        <v>66.559369465648871</v>
      </c>
      <c r="M75" s="100">
        <f>A2*G75*H75*I75</f>
        <v>11625.703200000002</v>
      </c>
      <c r="N75" s="100">
        <f t="shared" si="5"/>
        <v>11625.703200000002</v>
      </c>
      <c r="O75" s="101"/>
      <c r="P75" s="101"/>
    </row>
    <row r="76" spans="1:20" s="104" customFormat="1" x14ac:dyDescent="0.25">
      <c r="A76" s="70">
        <v>11</v>
      </c>
      <c r="B76" s="97" t="s">
        <v>88</v>
      </c>
      <c r="C76" s="97" t="s">
        <v>153</v>
      </c>
      <c r="D76" s="98"/>
      <c r="E76" s="98">
        <v>1</v>
      </c>
      <c r="F76" s="98">
        <v>4</v>
      </c>
      <c r="G76" s="98">
        <v>1.8</v>
      </c>
      <c r="H76" s="98">
        <v>1.35</v>
      </c>
      <c r="I76" s="98">
        <v>1.58</v>
      </c>
      <c r="J76" s="98"/>
      <c r="K76" s="100"/>
      <c r="L76" s="79">
        <f>M76/A4</f>
        <v>66.559369465648871</v>
      </c>
      <c r="M76" s="100">
        <f>A2*G76*H76*I76</f>
        <v>11625.703200000002</v>
      </c>
      <c r="N76" s="100">
        <f t="shared" si="5"/>
        <v>11625.703200000002</v>
      </c>
      <c r="O76" s="101"/>
      <c r="P76" s="101"/>
      <c r="Q76" s="102"/>
      <c r="R76" s="103"/>
      <c r="S76" s="103"/>
      <c r="T76" s="103"/>
    </row>
    <row r="77" spans="1:20" s="77" customFormat="1" x14ac:dyDescent="0.25">
      <c r="A77" s="72"/>
      <c r="B77" s="73" t="s">
        <v>25</v>
      </c>
      <c r="C77" s="73"/>
      <c r="D77" s="72"/>
      <c r="E77" s="72">
        <f>SUM(E67:E76)</f>
        <v>19</v>
      </c>
      <c r="F77" s="72"/>
      <c r="G77" s="72"/>
      <c r="H77" s="72"/>
      <c r="I77" s="72"/>
      <c r="J77" s="72"/>
      <c r="K77" s="74">
        <f>SUM(K67:K76)</f>
        <v>16621.310923200002</v>
      </c>
      <c r="L77" s="74"/>
      <c r="M77" s="74"/>
      <c r="N77" s="74">
        <f>SUM(N67:N76)</f>
        <v>229879.64704000001</v>
      </c>
      <c r="O77" s="87"/>
      <c r="P77" s="75"/>
      <c r="Q77" s="75"/>
      <c r="R77" s="76"/>
      <c r="S77" s="76"/>
      <c r="T77" s="76"/>
    </row>
    <row r="78" spans="1:20" s="77" customFormat="1" ht="25.5" x14ac:dyDescent="0.25">
      <c r="A78" s="72"/>
      <c r="B78" s="73" t="s">
        <v>181</v>
      </c>
      <c r="C78" s="73"/>
      <c r="D78" s="72"/>
      <c r="E78" s="72"/>
      <c r="F78" s="72"/>
      <c r="G78" s="72"/>
      <c r="H78" s="72"/>
      <c r="I78" s="72"/>
      <c r="J78" s="72"/>
      <c r="K78" s="74"/>
      <c r="L78" s="74"/>
      <c r="M78" s="79"/>
      <c r="N78" s="79"/>
      <c r="O78" s="75"/>
      <c r="P78" s="75"/>
      <c r="Q78" s="75"/>
      <c r="R78" s="76"/>
      <c r="S78" s="76"/>
      <c r="T78" s="76"/>
    </row>
    <row r="79" spans="1:20" x14ac:dyDescent="0.25">
      <c r="A79" s="70">
        <v>1</v>
      </c>
      <c r="B79" s="78" t="s">
        <v>77</v>
      </c>
      <c r="C79" s="78" t="s">
        <v>142</v>
      </c>
      <c r="D79" s="70"/>
      <c r="E79" s="70">
        <v>1</v>
      </c>
      <c r="F79" s="70"/>
      <c r="G79" s="88">
        <v>2.2999999999999998</v>
      </c>
      <c r="H79" s="88"/>
      <c r="I79" s="88"/>
      <c r="J79" s="70"/>
      <c r="K79" s="79">
        <f>SUM(M79*25/100)</f>
        <v>4951.25</v>
      </c>
      <c r="L79" s="79"/>
      <c r="M79" s="79">
        <v>19805</v>
      </c>
      <c r="N79" s="79">
        <f>M79*E79</f>
        <v>19805</v>
      </c>
      <c r="O79" s="80">
        <f>SUM(M2*G79)</f>
        <v>19806.7536</v>
      </c>
    </row>
    <row r="80" spans="1:20" x14ac:dyDescent="0.25">
      <c r="A80" s="70"/>
      <c r="B80" s="81" t="s">
        <v>91</v>
      </c>
      <c r="C80" s="81"/>
      <c r="D80" s="70"/>
      <c r="E80" s="70"/>
      <c r="F80" s="70"/>
      <c r="G80" s="88"/>
      <c r="H80" s="88"/>
      <c r="I80" s="88"/>
      <c r="J80" s="70"/>
      <c r="K80" s="79"/>
      <c r="L80" s="79"/>
      <c r="M80" s="79"/>
      <c r="N80" s="79"/>
    </row>
    <row r="81" spans="1:20" x14ac:dyDescent="0.25">
      <c r="A81" s="86" t="s">
        <v>154</v>
      </c>
      <c r="B81" s="78" t="s">
        <v>40</v>
      </c>
      <c r="C81" s="78" t="s">
        <v>151</v>
      </c>
      <c r="D81" s="70"/>
      <c r="E81" s="70">
        <v>1</v>
      </c>
      <c r="F81" s="70"/>
      <c r="G81" s="88">
        <v>1.9</v>
      </c>
      <c r="H81" s="88"/>
      <c r="I81" s="88"/>
      <c r="J81" s="70"/>
      <c r="K81" s="79" t="s">
        <v>158</v>
      </c>
      <c r="L81" s="79"/>
      <c r="M81" s="79">
        <v>16365</v>
      </c>
      <c r="N81" s="79">
        <f>M81*E81</f>
        <v>16365</v>
      </c>
      <c r="O81" s="80">
        <f>SUM(M2*G81)</f>
        <v>16362.100800000002</v>
      </c>
    </row>
    <row r="82" spans="1:20" s="68" customFormat="1" x14ac:dyDescent="0.25">
      <c r="A82" s="86" t="s">
        <v>155</v>
      </c>
      <c r="B82" s="78" t="s">
        <v>159</v>
      </c>
      <c r="C82" s="78" t="s">
        <v>153</v>
      </c>
      <c r="D82" s="70"/>
      <c r="E82" s="70">
        <v>5</v>
      </c>
      <c r="F82" s="70">
        <v>5</v>
      </c>
      <c r="G82" s="88">
        <v>1.8</v>
      </c>
      <c r="H82" s="88">
        <v>1.54</v>
      </c>
      <c r="I82" s="88">
        <v>1.58</v>
      </c>
      <c r="J82" s="70"/>
      <c r="K82" s="79">
        <f>M82*10/100+M82*20/100+M82*10/100+M82*10/100</f>
        <v>6630.9566400000031</v>
      </c>
      <c r="L82" s="79">
        <f>M82/A4</f>
        <v>75.926984427480946</v>
      </c>
      <c r="M82" s="79">
        <f>A$2*G82*H82*I82</f>
        <v>13261.913280000004</v>
      </c>
      <c r="N82" s="79">
        <f>M82*E82</f>
        <v>66309.566400000025</v>
      </c>
      <c r="O82" s="80"/>
      <c r="R82" s="69"/>
      <c r="S82" s="69"/>
      <c r="T82" s="69"/>
    </row>
    <row r="83" spans="1:20" s="68" customFormat="1" x14ac:dyDescent="0.25">
      <c r="A83" s="86" t="s">
        <v>160</v>
      </c>
      <c r="B83" s="78" t="s">
        <v>159</v>
      </c>
      <c r="C83" s="78" t="s">
        <v>153</v>
      </c>
      <c r="D83" s="70"/>
      <c r="E83" s="70">
        <v>3</v>
      </c>
      <c r="F83" s="70">
        <v>4</v>
      </c>
      <c r="G83" s="88">
        <v>1.8</v>
      </c>
      <c r="H83" s="88">
        <v>1.35</v>
      </c>
      <c r="I83" s="88">
        <v>1.58</v>
      </c>
      <c r="J83" s="70"/>
      <c r="K83" s="79"/>
      <c r="L83" s="79">
        <f>M83/A4</f>
        <v>66.559369465648871</v>
      </c>
      <c r="M83" s="79">
        <f>A$2*G83*H83*I83</f>
        <v>11625.703200000002</v>
      </c>
      <c r="N83" s="79">
        <f>M83*E83</f>
        <v>34877.109600000003</v>
      </c>
      <c r="O83" s="80"/>
      <c r="R83" s="69"/>
      <c r="S83" s="69"/>
      <c r="T83" s="69"/>
    </row>
    <row r="84" spans="1:20" s="68" customFormat="1" x14ac:dyDescent="0.25">
      <c r="A84" s="86" t="s">
        <v>161</v>
      </c>
      <c r="B84" s="78" t="s">
        <v>108</v>
      </c>
      <c r="C84" s="78" t="s">
        <v>153</v>
      </c>
      <c r="D84" s="70"/>
      <c r="E84" s="70">
        <v>2</v>
      </c>
      <c r="F84" s="70">
        <v>6</v>
      </c>
      <c r="G84" s="88">
        <v>1.8</v>
      </c>
      <c r="H84" s="88">
        <v>1.8</v>
      </c>
      <c r="I84" s="88">
        <v>1.58</v>
      </c>
      <c r="J84" s="70"/>
      <c r="K84" s="79">
        <f>M82*10/100+M82*15/100</f>
        <v>3315.4783200000011</v>
      </c>
      <c r="L84" s="79">
        <f>M84/A4</f>
        <v>88.745825954198494</v>
      </c>
      <c r="M84" s="79">
        <f>A$2*G84*H84*I84</f>
        <v>15500.937600000003</v>
      </c>
      <c r="N84" s="79">
        <f>M84*E84</f>
        <v>31001.875200000006</v>
      </c>
      <c r="O84" s="80"/>
      <c r="R84" s="69"/>
      <c r="S84" s="69"/>
      <c r="T84" s="69"/>
    </row>
    <row r="85" spans="1:20" s="68" customFormat="1" x14ac:dyDescent="0.25">
      <c r="A85" s="86"/>
      <c r="B85" s="78" t="s">
        <v>25</v>
      </c>
      <c r="C85" s="78"/>
      <c r="D85" s="70"/>
      <c r="E85" s="70">
        <f>SUM(E81:E84)</f>
        <v>11</v>
      </c>
      <c r="F85" s="70"/>
      <c r="G85" s="88"/>
      <c r="H85" s="88"/>
      <c r="I85" s="88"/>
      <c r="J85" s="70"/>
      <c r="K85" s="79">
        <f>SUM(K81:K84)</f>
        <v>9946.4349600000041</v>
      </c>
      <c r="L85" s="79"/>
      <c r="M85" s="105"/>
      <c r="N85" s="105">
        <f>SUM(N81:N84)</f>
        <v>148553.55120000005</v>
      </c>
      <c r="O85" s="80"/>
      <c r="R85" s="69"/>
      <c r="S85" s="69"/>
      <c r="T85" s="69"/>
    </row>
    <row r="86" spans="1:20" s="68" customFormat="1" ht="25.5" x14ac:dyDescent="0.25">
      <c r="A86" s="70"/>
      <c r="B86" s="81" t="s">
        <v>177</v>
      </c>
      <c r="C86" s="81"/>
      <c r="D86" s="70"/>
      <c r="E86" s="70"/>
      <c r="F86" s="70"/>
      <c r="G86" s="88"/>
      <c r="H86" s="88"/>
      <c r="I86" s="88"/>
      <c r="J86" s="70"/>
      <c r="K86" s="79"/>
      <c r="L86" s="79"/>
      <c r="M86" s="79"/>
      <c r="N86" s="79"/>
      <c r="R86" s="69"/>
      <c r="S86" s="69"/>
      <c r="T86" s="69"/>
    </row>
    <row r="87" spans="1:20" s="68" customFormat="1" x14ac:dyDescent="0.25">
      <c r="A87" s="86" t="s">
        <v>162</v>
      </c>
      <c r="B87" s="78" t="s">
        <v>95</v>
      </c>
      <c r="C87" s="78" t="s">
        <v>151</v>
      </c>
      <c r="D87" s="70"/>
      <c r="E87" s="70">
        <v>1</v>
      </c>
      <c r="F87" s="70"/>
      <c r="G87" s="88"/>
      <c r="H87" s="88"/>
      <c r="I87" s="88">
        <v>1.1000000000000001</v>
      </c>
      <c r="J87" s="70"/>
      <c r="K87" s="79"/>
      <c r="L87" s="79"/>
      <c r="M87" s="79">
        <v>18000</v>
      </c>
      <c r="N87" s="79">
        <f t="shared" ref="N87:N91" si="6">M87*E87</f>
        <v>18000</v>
      </c>
      <c r="O87" s="80">
        <f>SUM(M81*I87)</f>
        <v>18001.5</v>
      </c>
      <c r="R87" s="69"/>
      <c r="S87" s="69"/>
      <c r="T87" s="69"/>
    </row>
    <row r="88" spans="1:20" s="68" customFormat="1" x14ac:dyDescent="0.25">
      <c r="A88" s="86" t="s">
        <v>163</v>
      </c>
      <c r="B88" s="97" t="s">
        <v>78</v>
      </c>
      <c r="C88" s="97" t="s">
        <v>153</v>
      </c>
      <c r="D88" s="98"/>
      <c r="E88" s="98">
        <v>5</v>
      </c>
      <c r="F88" s="98">
        <v>2</v>
      </c>
      <c r="G88" s="98">
        <v>1.8</v>
      </c>
      <c r="H88" s="98">
        <v>1.08</v>
      </c>
      <c r="I88" s="98">
        <v>1.58</v>
      </c>
      <c r="J88" s="98"/>
      <c r="K88" s="100">
        <f>M88*25/100+M88*10/100+M88*20/100+M88*10/100+M88*10/100</f>
        <v>6975.4219200000007</v>
      </c>
      <c r="L88" s="100">
        <f>M88/A4</f>
        <v>53.247495572519099</v>
      </c>
      <c r="M88" s="100">
        <f t="shared" ref="M88:M91" si="7">A$2*G88*H88*I88</f>
        <v>9300.5625600000021</v>
      </c>
      <c r="N88" s="79">
        <f t="shared" si="6"/>
        <v>46502.812800000014</v>
      </c>
      <c r="O88" s="100">
        <f>A2*G88*H88*I88</f>
        <v>9300.5625600000021</v>
      </c>
      <c r="R88" s="69"/>
      <c r="S88" s="69"/>
      <c r="T88" s="69"/>
    </row>
    <row r="89" spans="1:20" s="68" customFormat="1" x14ac:dyDescent="0.25">
      <c r="A89" s="86" t="s">
        <v>164</v>
      </c>
      <c r="B89" s="97" t="s">
        <v>107</v>
      </c>
      <c r="C89" s="97" t="s">
        <v>153</v>
      </c>
      <c r="D89" s="98"/>
      <c r="E89" s="98">
        <v>1</v>
      </c>
      <c r="F89" s="98">
        <v>3</v>
      </c>
      <c r="G89" s="98">
        <v>1.8</v>
      </c>
      <c r="H89" s="98">
        <v>1.2</v>
      </c>
      <c r="I89" s="98">
        <v>1.58</v>
      </c>
      <c r="J89" s="98"/>
      <c r="K89" s="100"/>
      <c r="L89" s="100">
        <f>M89/A4</f>
        <v>59.163883969465658</v>
      </c>
      <c r="M89" s="100">
        <f t="shared" si="7"/>
        <v>10333.958400000001</v>
      </c>
      <c r="N89" s="79">
        <f t="shared" si="6"/>
        <v>10333.958400000001</v>
      </c>
      <c r="R89" s="69"/>
      <c r="S89" s="69"/>
      <c r="T89" s="69"/>
    </row>
    <row r="90" spans="1:20" s="68" customFormat="1" ht="25.5" x14ac:dyDescent="0.25">
      <c r="A90" s="86" t="s">
        <v>174</v>
      </c>
      <c r="B90" s="97" t="s">
        <v>65</v>
      </c>
      <c r="C90" s="97" t="s">
        <v>153</v>
      </c>
      <c r="D90" s="98"/>
      <c r="E90" s="98">
        <v>1</v>
      </c>
      <c r="F90" s="98">
        <v>5</v>
      </c>
      <c r="G90" s="98">
        <v>1.8</v>
      </c>
      <c r="H90" s="98">
        <v>1.54</v>
      </c>
      <c r="I90" s="98">
        <v>1.58</v>
      </c>
      <c r="J90" s="98"/>
      <c r="K90" s="100"/>
      <c r="L90" s="100">
        <f>M90/A4</f>
        <v>75.926984427480946</v>
      </c>
      <c r="M90" s="100">
        <f t="shared" si="7"/>
        <v>13261.913280000004</v>
      </c>
      <c r="N90" s="79">
        <f t="shared" si="6"/>
        <v>13261.913280000004</v>
      </c>
      <c r="R90" s="69"/>
      <c r="S90" s="69"/>
      <c r="T90" s="69"/>
    </row>
    <row r="91" spans="1:20" s="68" customFormat="1" x14ac:dyDescent="0.25">
      <c r="A91" s="86" t="s">
        <v>175</v>
      </c>
      <c r="B91" s="97" t="s">
        <v>159</v>
      </c>
      <c r="C91" s="97" t="s">
        <v>153</v>
      </c>
      <c r="D91" s="98"/>
      <c r="E91" s="98">
        <v>2</v>
      </c>
      <c r="F91" s="98">
        <v>5</v>
      </c>
      <c r="G91" s="98">
        <v>1.8</v>
      </c>
      <c r="H91" s="98">
        <v>1.54</v>
      </c>
      <c r="I91" s="98">
        <v>1.58</v>
      </c>
      <c r="J91" s="98"/>
      <c r="K91" s="100"/>
      <c r="L91" s="100">
        <f>M91/A4</f>
        <v>75.926984427480946</v>
      </c>
      <c r="M91" s="100">
        <f t="shared" si="7"/>
        <v>13261.913280000004</v>
      </c>
      <c r="N91" s="79">
        <f t="shared" si="6"/>
        <v>26523.826560000009</v>
      </c>
      <c r="R91" s="69"/>
      <c r="S91" s="69"/>
      <c r="T91" s="69"/>
    </row>
    <row r="92" spans="1:20" s="68" customFormat="1" x14ac:dyDescent="0.25">
      <c r="A92" s="86"/>
      <c r="B92" s="78" t="s">
        <v>25</v>
      </c>
      <c r="C92" s="78"/>
      <c r="D92" s="70"/>
      <c r="E92" s="70">
        <f>SUM(E87:E91)</f>
        <v>10</v>
      </c>
      <c r="F92" s="70"/>
      <c r="G92" s="70"/>
      <c r="H92" s="70"/>
      <c r="I92" s="70"/>
      <c r="J92" s="70"/>
      <c r="K92" s="79">
        <f>SUM(K87:K91)</f>
        <v>6975.4219200000007</v>
      </c>
      <c r="L92" s="79"/>
      <c r="M92" s="105"/>
      <c r="N92" s="105">
        <f>SUM(N87:N91)</f>
        <v>114622.51104000004</v>
      </c>
      <c r="R92" s="69"/>
      <c r="S92" s="69"/>
      <c r="T92" s="69"/>
    </row>
    <row r="93" spans="1:20" s="77" customFormat="1" x14ac:dyDescent="0.25">
      <c r="A93" s="72"/>
      <c r="B93" s="73" t="s">
        <v>165</v>
      </c>
      <c r="C93" s="73"/>
      <c r="D93" s="72"/>
      <c r="E93" s="72">
        <f>E92+E85+E79</f>
        <v>22</v>
      </c>
      <c r="F93" s="72"/>
      <c r="G93" s="72"/>
      <c r="H93" s="72"/>
      <c r="I93" s="72"/>
      <c r="J93" s="72"/>
      <c r="K93" s="74">
        <f>SUM(K79+K85+K92)</f>
        <v>21873.106880000007</v>
      </c>
      <c r="L93" s="74"/>
      <c r="M93" s="74"/>
      <c r="N93" s="74">
        <f>N92+N85+N79</f>
        <v>282981.06224000012</v>
      </c>
      <c r="O93" s="75"/>
      <c r="P93" s="75"/>
      <c r="Q93" s="75"/>
      <c r="R93" s="76"/>
      <c r="S93" s="76"/>
      <c r="T93" s="76"/>
    </row>
    <row r="94" spans="1:20" s="68" customFormat="1" x14ac:dyDescent="0.25">
      <c r="A94" s="86"/>
      <c r="B94" s="73" t="s">
        <v>176</v>
      </c>
      <c r="C94" s="81"/>
      <c r="D94" s="70"/>
      <c r="E94" s="70"/>
      <c r="F94" s="70"/>
      <c r="G94" s="70"/>
      <c r="H94" s="70"/>
      <c r="I94" s="70"/>
      <c r="J94" s="70"/>
      <c r="K94" s="79"/>
      <c r="L94" s="79"/>
      <c r="M94" s="79"/>
      <c r="N94" s="79"/>
      <c r="O94" s="80"/>
      <c r="R94" s="69"/>
      <c r="S94" s="69"/>
      <c r="T94" s="69"/>
    </row>
    <row r="95" spans="1:20" s="68" customFormat="1" x14ac:dyDescent="0.25">
      <c r="A95" s="86" t="s">
        <v>178</v>
      </c>
      <c r="B95" s="78" t="s">
        <v>77</v>
      </c>
      <c r="C95" s="78" t="s">
        <v>142</v>
      </c>
      <c r="D95" s="70"/>
      <c r="E95" s="70">
        <v>1</v>
      </c>
      <c r="F95" s="70"/>
      <c r="G95" s="70">
        <v>2.2999999999999998</v>
      </c>
      <c r="H95" s="70"/>
      <c r="I95" s="70"/>
      <c r="J95" s="70"/>
      <c r="K95" s="79">
        <f>SUM(M95*20/100)</f>
        <v>3961</v>
      </c>
      <c r="L95" s="79"/>
      <c r="M95" s="79">
        <v>19805</v>
      </c>
      <c r="N95" s="79">
        <f>M95*E95</f>
        <v>19805</v>
      </c>
      <c r="O95" s="80">
        <f>SUM(M2*G95)</f>
        <v>19806.7536</v>
      </c>
      <c r="R95" s="69"/>
      <c r="S95" s="69"/>
      <c r="T95" s="69"/>
    </row>
    <row r="96" spans="1:20" s="68" customFormat="1" x14ac:dyDescent="0.25">
      <c r="A96" s="86" t="s">
        <v>179</v>
      </c>
      <c r="B96" s="78" t="s">
        <v>159</v>
      </c>
      <c r="C96" s="78" t="s">
        <v>153</v>
      </c>
      <c r="D96" s="70"/>
      <c r="E96" s="70">
        <v>5</v>
      </c>
      <c r="F96" s="70">
        <v>5</v>
      </c>
      <c r="G96" s="70">
        <v>1.8</v>
      </c>
      <c r="H96" s="70">
        <v>1.54</v>
      </c>
      <c r="I96" s="70">
        <v>1.58</v>
      </c>
      <c r="J96" s="70"/>
      <c r="K96" s="79">
        <f>M96*10/100+M96*10/100+M96*7/100</f>
        <v>3580.7165856000015</v>
      </c>
      <c r="L96" s="79">
        <f>M96/A4</f>
        <v>75.926984427480946</v>
      </c>
      <c r="M96" s="79">
        <f>A$2*G96*H96*I96</f>
        <v>13261.913280000004</v>
      </c>
      <c r="N96" s="79">
        <f>M96*E96</f>
        <v>66309.566400000025</v>
      </c>
      <c r="R96" s="69"/>
      <c r="S96" s="69"/>
      <c r="T96" s="69"/>
    </row>
    <row r="97" spans="1:20" s="68" customFormat="1" x14ac:dyDescent="0.25">
      <c r="A97" s="86" t="s">
        <v>180</v>
      </c>
      <c r="B97" s="78" t="s">
        <v>159</v>
      </c>
      <c r="C97" s="78" t="s">
        <v>153</v>
      </c>
      <c r="D97" s="70"/>
      <c r="E97" s="70">
        <v>2</v>
      </c>
      <c r="F97" s="70">
        <v>4</v>
      </c>
      <c r="G97" s="70">
        <v>1.8</v>
      </c>
      <c r="H97" s="70">
        <v>1.35</v>
      </c>
      <c r="I97" s="70">
        <v>1.58</v>
      </c>
      <c r="J97" s="70"/>
      <c r="K97" s="79">
        <f>M97*7/100+M97*10/100</f>
        <v>1976.3695440000004</v>
      </c>
      <c r="L97" s="79">
        <f>M97/A4</f>
        <v>66.559369465648871</v>
      </c>
      <c r="M97" s="79">
        <f>A$2*G97*H97*I97</f>
        <v>11625.703200000002</v>
      </c>
      <c r="N97" s="79">
        <f>M97*E97</f>
        <v>23251.406400000003</v>
      </c>
      <c r="R97" s="69"/>
      <c r="S97" s="69"/>
      <c r="T97" s="69"/>
    </row>
    <row r="98" spans="1:20" s="75" customFormat="1" x14ac:dyDescent="0.25">
      <c r="A98" s="72"/>
      <c r="B98" s="73" t="s">
        <v>25</v>
      </c>
      <c r="C98" s="73"/>
      <c r="D98" s="72"/>
      <c r="E98" s="72">
        <f>SUM(E95:E97)</f>
        <v>8</v>
      </c>
      <c r="F98" s="72"/>
      <c r="G98" s="72"/>
      <c r="H98" s="72"/>
      <c r="I98" s="72"/>
      <c r="J98" s="72"/>
      <c r="K98" s="74">
        <f>SUM(K95:K97)</f>
        <v>9518.0861296000021</v>
      </c>
      <c r="L98" s="74"/>
      <c r="M98" s="110"/>
      <c r="N98" s="110">
        <f t="shared" ref="N98" si="8">SUM(N95:N97)</f>
        <v>109365.97280000003</v>
      </c>
      <c r="R98" s="76"/>
      <c r="S98" s="76"/>
      <c r="T98" s="76"/>
    </row>
    <row r="99" spans="1:20" s="77" customFormat="1" ht="25.5" x14ac:dyDescent="0.25">
      <c r="A99" s="72"/>
      <c r="B99" s="73" t="s">
        <v>166</v>
      </c>
      <c r="C99" s="73"/>
      <c r="D99" s="72"/>
      <c r="E99" s="72"/>
      <c r="F99" s="72"/>
      <c r="G99" s="72"/>
      <c r="H99" s="72"/>
      <c r="I99" s="72"/>
      <c r="J99" s="72"/>
      <c r="K99" s="74"/>
      <c r="L99" s="74"/>
      <c r="M99" s="79"/>
      <c r="N99" s="79"/>
      <c r="O99" s="75"/>
      <c r="P99" s="75"/>
      <c r="Q99" s="75"/>
      <c r="R99" s="76"/>
      <c r="S99" s="76"/>
      <c r="T99" s="76"/>
    </row>
    <row r="100" spans="1:20" x14ac:dyDescent="0.25">
      <c r="A100" s="70">
        <v>1</v>
      </c>
      <c r="B100" s="78" t="s">
        <v>71</v>
      </c>
      <c r="C100" s="78" t="s">
        <v>142</v>
      </c>
      <c r="D100" s="70"/>
      <c r="E100" s="70">
        <v>1</v>
      </c>
      <c r="F100" s="70"/>
      <c r="G100" s="88">
        <v>2.15</v>
      </c>
      <c r="H100" s="70"/>
      <c r="I100" s="70"/>
      <c r="J100" s="70"/>
      <c r="K100" s="79">
        <f>SUM(M100*7/100)</f>
        <v>1296.4000000000001</v>
      </c>
      <c r="L100" s="79"/>
      <c r="M100" s="79">
        <v>18520</v>
      </c>
      <c r="N100" s="79">
        <f>M100*E100</f>
        <v>18520</v>
      </c>
      <c r="O100" s="80">
        <f>SUM(M2*G100)</f>
        <v>18515.008800000003</v>
      </c>
    </row>
    <row r="101" spans="1:20" x14ac:dyDescent="0.25">
      <c r="A101" s="70">
        <v>2</v>
      </c>
      <c r="B101" s="78" t="s">
        <v>73</v>
      </c>
      <c r="C101" s="78" t="s">
        <v>144</v>
      </c>
      <c r="D101" s="70"/>
      <c r="E101" s="70">
        <v>1</v>
      </c>
      <c r="F101" s="70"/>
      <c r="G101" s="70">
        <v>1.9</v>
      </c>
      <c r="H101" s="70"/>
      <c r="I101" s="70"/>
      <c r="J101" s="70"/>
      <c r="K101" s="79">
        <f>SUM(M101*25/100)</f>
        <v>4091.25</v>
      </c>
      <c r="L101" s="79"/>
      <c r="M101" s="79">
        <v>16365</v>
      </c>
      <c r="N101" s="79">
        <f>M101*E101</f>
        <v>16365</v>
      </c>
      <c r="O101" s="80">
        <f>SUM(M2*G101)</f>
        <v>16362.100800000002</v>
      </c>
    </row>
    <row r="102" spans="1:20" x14ac:dyDescent="0.25">
      <c r="A102" s="70">
        <v>3</v>
      </c>
      <c r="B102" s="78" t="s">
        <v>100</v>
      </c>
      <c r="C102" s="78" t="s">
        <v>153</v>
      </c>
      <c r="D102" s="70"/>
      <c r="E102" s="70">
        <v>1</v>
      </c>
      <c r="F102" s="70">
        <v>2</v>
      </c>
      <c r="G102" s="70">
        <v>1.8</v>
      </c>
      <c r="H102" s="70">
        <v>1.08</v>
      </c>
      <c r="I102" s="70">
        <v>1.58</v>
      </c>
      <c r="J102" s="70"/>
      <c r="K102" s="79"/>
      <c r="L102" s="79">
        <f>M102/A4</f>
        <v>53.247495572519099</v>
      </c>
      <c r="M102" s="79">
        <f>A2*G102*H102*I102</f>
        <v>9300.5625600000021</v>
      </c>
      <c r="N102" s="79">
        <f>M102*E102</f>
        <v>9300.5625600000021</v>
      </c>
      <c r="O102" s="80"/>
    </row>
    <row r="103" spans="1:20" s="77" customFormat="1" x14ac:dyDescent="0.25">
      <c r="A103" s="72"/>
      <c r="B103" s="73" t="s">
        <v>25</v>
      </c>
      <c r="C103" s="73"/>
      <c r="D103" s="72"/>
      <c r="E103" s="72">
        <f>SUM(E100:E102)</f>
        <v>3</v>
      </c>
      <c r="F103" s="72"/>
      <c r="G103" s="72"/>
      <c r="H103" s="72"/>
      <c r="I103" s="72"/>
      <c r="J103" s="72"/>
      <c r="K103" s="74">
        <f>SUM(K100:K102)</f>
        <v>5387.65</v>
      </c>
      <c r="L103" s="74"/>
      <c r="M103" s="74"/>
      <c r="N103" s="74">
        <f>SUM(N100:N102)</f>
        <v>44185.562560000006</v>
      </c>
      <c r="O103" s="75"/>
      <c r="P103" s="75"/>
      <c r="Q103" s="75"/>
      <c r="R103" s="76"/>
      <c r="S103" s="76"/>
      <c r="T103" s="76"/>
    </row>
    <row r="104" spans="1:20" s="77" customFormat="1" ht="25.5" x14ac:dyDescent="0.25">
      <c r="A104" s="72"/>
      <c r="B104" s="73" t="s">
        <v>102</v>
      </c>
      <c r="C104" s="73"/>
      <c r="D104" s="72"/>
      <c r="E104" s="72"/>
      <c r="F104" s="72"/>
      <c r="G104" s="72"/>
      <c r="H104" s="72"/>
      <c r="I104" s="72"/>
      <c r="J104" s="72"/>
      <c r="K104" s="74"/>
      <c r="L104" s="74"/>
      <c r="M104" s="79"/>
      <c r="N104" s="79"/>
      <c r="O104" s="75"/>
      <c r="P104" s="75"/>
      <c r="Q104" s="75"/>
      <c r="R104" s="76"/>
      <c r="S104" s="76"/>
      <c r="T104" s="76"/>
    </row>
    <row r="105" spans="1:20" x14ac:dyDescent="0.25">
      <c r="A105" s="70">
        <v>1</v>
      </c>
      <c r="B105" s="78" t="s">
        <v>77</v>
      </c>
      <c r="C105" s="78" t="s">
        <v>142</v>
      </c>
      <c r="D105" s="70"/>
      <c r="E105" s="70">
        <v>1</v>
      </c>
      <c r="F105" s="70"/>
      <c r="G105" s="70">
        <v>2.2999999999999998</v>
      </c>
      <c r="H105" s="70"/>
      <c r="I105" s="70"/>
      <c r="J105" s="70"/>
      <c r="K105" s="79">
        <f>SUM(M105*10/100)</f>
        <v>1980.5</v>
      </c>
      <c r="L105" s="79"/>
      <c r="M105" s="79">
        <v>19805</v>
      </c>
      <c r="N105" s="79">
        <f t="shared" ref="N105:N116" si="9">M105*E105</f>
        <v>19805</v>
      </c>
      <c r="O105" s="80">
        <f>SUM(M2*G105)</f>
        <v>19806.7536</v>
      </c>
    </row>
    <row r="106" spans="1:20" x14ac:dyDescent="0.25">
      <c r="A106" s="70">
        <v>2</v>
      </c>
      <c r="B106" s="78" t="s">
        <v>40</v>
      </c>
      <c r="C106" s="78" t="s">
        <v>151</v>
      </c>
      <c r="D106" s="70"/>
      <c r="E106" s="70">
        <v>1</v>
      </c>
      <c r="F106" s="70"/>
      <c r="G106" s="70">
        <v>1.9</v>
      </c>
      <c r="H106" s="70"/>
      <c r="I106" s="70"/>
      <c r="J106" s="70"/>
      <c r="K106" s="79"/>
      <c r="L106" s="79"/>
      <c r="M106" s="91">
        <v>16365</v>
      </c>
      <c r="N106" s="79">
        <f t="shared" si="9"/>
        <v>16365</v>
      </c>
      <c r="O106" s="80">
        <f>SUM(M2*G106)</f>
        <v>16362.100800000002</v>
      </c>
    </row>
    <row r="107" spans="1:20" x14ac:dyDescent="0.25">
      <c r="A107" s="70">
        <v>3</v>
      </c>
      <c r="B107" s="78" t="s">
        <v>147</v>
      </c>
      <c r="C107" s="78" t="s">
        <v>144</v>
      </c>
      <c r="D107" s="70"/>
      <c r="E107" s="70">
        <v>1</v>
      </c>
      <c r="F107" s="70"/>
      <c r="G107" s="88">
        <v>1.85</v>
      </c>
      <c r="H107" s="70"/>
      <c r="I107" s="70"/>
      <c r="J107" s="70"/>
      <c r="K107" s="79"/>
      <c r="L107" s="79"/>
      <c r="M107" s="79">
        <v>15930</v>
      </c>
      <c r="N107" s="79">
        <f t="shared" si="9"/>
        <v>15930</v>
      </c>
      <c r="O107" s="80">
        <f>SUM(M2*G107)</f>
        <v>15931.519200000004</v>
      </c>
    </row>
    <row r="108" spans="1:20" x14ac:dyDescent="0.25">
      <c r="A108" s="70">
        <v>4</v>
      </c>
      <c r="B108" s="78" t="s">
        <v>103</v>
      </c>
      <c r="C108" s="78" t="s">
        <v>153</v>
      </c>
      <c r="D108" s="70"/>
      <c r="E108" s="70">
        <v>4</v>
      </c>
      <c r="F108" s="70">
        <v>2</v>
      </c>
      <c r="G108" s="70">
        <v>1.8</v>
      </c>
      <c r="H108" s="70">
        <v>1.08</v>
      </c>
      <c r="I108" s="70">
        <v>1.58</v>
      </c>
      <c r="J108" s="70"/>
      <c r="K108" s="79">
        <f>M108*20/100+M108*10/100+M108*10/100</f>
        <v>3720.2250240000012</v>
      </c>
      <c r="L108" s="79">
        <f>M108/A4</f>
        <v>53.247495572519099</v>
      </c>
      <c r="M108" s="79">
        <f t="shared" ref="M108:M115" si="10">A$2*G108*H108*I108</f>
        <v>9300.5625600000021</v>
      </c>
      <c r="N108" s="79">
        <f t="shared" si="9"/>
        <v>37202.250240000008</v>
      </c>
      <c r="O108" s="80">
        <f>A2*G108*H108*I108</f>
        <v>9300.5625600000021</v>
      </c>
    </row>
    <row r="109" spans="1:20" x14ac:dyDescent="0.25">
      <c r="A109" s="70">
        <v>5</v>
      </c>
      <c r="B109" s="78" t="s">
        <v>78</v>
      </c>
      <c r="C109" s="78" t="s">
        <v>153</v>
      </c>
      <c r="D109" s="70"/>
      <c r="E109" s="70">
        <v>5</v>
      </c>
      <c r="F109" s="70">
        <v>3</v>
      </c>
      <c r="G109" s="70">
        <v>1.8</v>
      </c>
      <c r="H109" s="70">
        <v>1.2</v>
      </c>
      <c r="I109" s="70">
        <v>1.58</v>
      </c>
      <c r="J109" s="70"/>
      <c r="K109" s="79">
        <f>M109*20/100+M109*20/100+M109*10/100+M109*10/100+M109*10/100</f>
        <v>7233.7708800000009</v>
      </c>
      <c r="L109" s="79">
        <f>M109/A4</f>
        <v>59.163883969465658</v>
      </c>
      <c r="M109" s="79">
        <f t="shared" si="10"/>
        <v>10333.958400000001</v>
      </c>
      <c r="N109" s="79">
        <f t="shared" si="9"/>
        <v>51669.792000000009</v>
      </c>
      <c r="O109" s="80"/>
    </row>
    <row r="110" spans="1:20" x14ac:dyDescent="0.25">
      <c r="A110" s="70">
        <v>6</v>
      </c>
      <c r="B110" s="78" t="s">
        <v>104</v>
      </c>
      <c r="C110" s="78" t="s">
        <v>153</v>
      </c>
      <c r="D110" s="70"/>
      <c r="E110" s="70">
        <v>5</v>
      </c>
      <c r="F110" s="70">
        <v>3</v>
      </c>
      <c r="G110" s="70">
        <v>1.8</v>
      </c>
      <c r="H110" s="70">
        <v>1.2</v>
      </c>
      <c r="I110" s="70">
        <v>1.58</v>
      </c>
      <c r="J110" s="70"/>
      <c r="K110" s="79">
        <f>M110*25/100+M110*20/100+M110*7/100+M110*10/100+M110*10/100</f>
        <v>7440.4500480000015</v>
      </c>
      <c r="L110" s="79">
        <f>M110/A4</f>
        <v>59.163883969465658</v>
      </c>
      <c r="M110" s="79">
        <f t="shared" si="10"/>
        <v>10333.958400000001</v>
      </c>
      <c r="N110" s="79">
        <f t="shared" si="9"/>
        <v>51669.792000000009</v>
      </c>
      <c r="O110" s="80"/>
    </row>
    <row r="111" spans="1:20" x14ac:dyDescent="0.25">
      <c r="A111" s="70">
        <v>7</v>
      </c>
      <c r="B111" s="78" t="s">
        <v>105</v>
      </c>
      <c r="C111" s="78" t="s">
        <v>153</v>
      </c>
      <c r="D111" s="70"/>
      <c r="E111" s="70">
        <v>5</v>
      </c>
      <c r="F111" s="70">
        <v>2</v>
      </c>
      <c r="G111" s="70">
        <v>1.8</v>
      </c>
      <c r="H111" s="70">
        <v>1.08</v>
      </c>
      <c r="I111" s="70">
        <v>1.58</v>
      </c>
      <c r="J111" s="70"/>
      <c r="K111" s="79">
        <f>M111*25/100+M111*10/100+M111*15/100+M111*10/100</f>
        <v>5580.3375360000009</v>
      </c>
      <c r="L111" s="79">
        <f>M111/A4</f>
        <v>53.247495572519099</v>
      </c>
      <c r="M111" s="79">
        <f t="shared" si="10"/>
        <v>9300.5625600000021</v>
      </c>
      <c r="N111" s="79">
        <f t="shared" si="9"/>
        <v>46502.812800000014</v>
      </c>
      <c r="O111" s="80">
        <f>A2*G111*H111*I111</f>
        <v>9300.5625600000021</v>
      </c>
    </row>
    <row r="112" spans="1:20" x14ac:dyDescent="0.25">
      <c r="A112" s="70">
        <v>8</v>
      </c>
      <c r="B112" s="78" t="s">
        <v>167</v>
      </c>
      <c r="C112" s="78" t="s">
        <v>153</v>
      </c>
      <c r="D112" s="70"/>
      <c r="E112" s="70">
        <v>2</v>
      </c>
      <c r="F112" s="70">
        <v>2</v>
      </c>
      <c r="G112" s="70">
        <v>1.8</v>
      </c>
      <c r="H112" s="70">
        <v>1.08</v>
      </c>
      <c r="I112" s="70">
        <v>1.58</v>
      </c>
      <c r="J112" s="70"/>
      <c r="K112" s="79"/>
      <c r="L112" s="79">
        <f>M112/A4</f>
        <v>53.247495572519099</v>
      </c>
      <c r="M112" s="79">
        <f t="shared" si="10"/>
        <v>9300.5625600000021</v>
      </c>
      <c r="N112" s="79">
        <f t="shared" si="9"/>
        <v>18601.125120000004</v>
      </c>
      <c r="O112" s="80">
        <f>A2*G112*H112*I112</f>
        <v>9300.5625600000021</v>
      </c>
    </row>
    <row r="113" spans="1:20" x14ac:dyDescent="0.25">
      <c r="A113" s="70">
        <v>9</v>
      </c>
      <c r="B113" s="78" t="s">
        <v>107</v>
      </c>
      <c r="C113" s="78" t="s">
        <v>153</v>
      </c>
      <c r="D113" s="70"/>
      <c r="E113" s="70">
        <v>1</v>
      </c>
      <c r="F113" s="70">
        <v>4</v>
      </c>
      <c r="G113" s="70">
        <v>1.8</v>
      </c>
      <c r="H113" s="70">
        <v>1.35</v>
      </c>
      <c r="I113" s="70">
        <v>1.58</v>
      </c>
      <c r="J113" s="70"/>
      <c r="K113" s="79">
        <f>M113*7/100</f>
        <v>813.79922400000009</v>
      </c>
      <c r="L113" s="79">
        <f>M113/A4</f>
        <v>66.559369465648871</v>
      </c>
      <c r="M113" s="79">
        <f t="shared" si="10"/>
        <v>11625.703200000002</v>
      </c>
      <c r="N113" s="79">
        <f t="shared" si="9"/>
        <v>11625.703200000002</v>
      </c>
    </row>
    <row r="114" spans="1:20" x14ac:dyDescent="0.25">
      <c r="A114" s="70">
        <v>10</v>
      </c>
      <c r="B114" s="78" t="s">
        <v>107</v>
      </c>
      <c r="C114" s="78" t="s">
        <v>153</v>
      </c>
      <c r="D114" s="70"/>
      <c r="E114" s="70">
        <v>1</v>
      </c>
      <c r="F114" s="70">
        <v>5</v>
      </c>
      <c r="G114" s="70">
        <v>1.8</v>
      </c>
      <c r="H114" s="70">
        <v>1.54</v>
      </c>
      <c r="I114" s="70">
        <v>1.58</v>
      </c>
      <c r="J114" s="70"/>
      <c r="K114" s="79">
        <f>M114*15/100</f>
        <v>1989.2869920000005</v>
      </c>
      <c r="L114" s="79">
        <f>M114/A4</f>
        <v>75.926984427480946</v>
      </c>
      <c r="M114" s="79">
        <f t="shared" si="10"/>
        <v>13261.913280000004</v>
      </c>
      <c r="N114" s="79">
        <f t="shared" si="9"/>
        <v>13261.913280000004</v>
      </c>
    </row>
    <row r="115" spans="1:20" x14ac:dyDescent="0.25">
      <c r="A115" s="70">
        <v>11</v>
      </c>
      <c r="B115" s="78" t="s">
        <v>108</v>
      </c>
      <c r="C115" s="78" t="s">
        <v>153</v>
      </c>
      <c r="D115" s="70"/>
      <c r="E115" s="70">
        <v>1</v>
      </c>
      <c r="F115" s="70">
        <v>5</v>
      </c>
      <c r="G115" s="70">
        <v>1.8</v>
      </c>
      <c r="H115" s="70">
        <v>1.54</v>
      </c>
      <c r="I115" s="70">
        <v>1.58</v>
      </c>
      <c r="J115" s="70"/>
      <c r="K115" s="79">
        <f>M115*15/100</f>
        <v>1989.2869920000005</v>
      </c>
      <c r="L115" s="79">
        <f>M115/A4</f>
        <v>75.926984427480946</v>
      </c>
      <c r="M115" s="79">
        <f t="shared" si="10"/>
        <v>13261.913280000004</v>
      </c>
      <c r="N115" s="79">
        <f t="shared" si="9"/>
        <v>13261.913280000004</v>
      </c>
    </row>
    <row r="116" spans="1:20" x14ac:dyDescent="0.25">
      <c r="A116" s="70">
        <v>12</v>
      </c>
      <c r="B116" s="78" t="s">
        <v>79</v>
      </c>
      <c r="C116" s="78"/>
      <c r="D116" s="70"/>
      <c r="E116" s="70">
        <v>1</v>
      </c>
      <c r="F116" s="70"/>
      <c r="G116" s="70"/>
      <c r="H116" s="70"/>
      <c r="I116" s="70"/>
      <c r="J116" s="98"/>
      <c r="K116" s="79">
        <f>SUM(M116*10/100)</f>
        <v>710</v>
      </c>
      <c r="L116" s="79"/>
      <c r="M116" s="79">
        <v>7100</v>
      </c>
      <c r="N116" s="79">
        <f t="shared" si="9"/>
        <v>7100</v>
      </c>
    </row>
    <row r="117" spans="1:20" s="77" customFormat="1" x14ac:dyDescent="0.25">
      <c r="A117" s="72"/>
      <c r="B117" s="73" t="s">
        <v>25</v>
      </c>
      <c r="C117" s="73"/>
      <c r="D117" s="72"/>
      <c r="E117" s="72">
        <f>SUM(E105:E116)</f>
        <v>28</v>
      </c>
      <c r="F117" s="72"/>
      <c r="G117" s="72"/>
      <c r="H117" s="72"/>
      <c r="I117" s="72"/>
      <c r="J117" s="72"/>
      <c r="K117" s="74">
        <f>SUM(K105:K116)</f>
        <v>31457.656696000009</v>
      </c>
      <c r="L117" s="74"/>
      <c r="M117" s="74"/>
      <c r="N117" s="74">
        <f>SUM(N105:N116)</f>
        <v>302995.30192</v>
      </c>
      <c r="O117" s="75"/>
      <c r="P117" s="75"/>
      <c r="Q117" s="75"/>
      <c r="R117" s="76"/>
      <c r="S117" s="76"/>
      <c r="T117" s="76"/>
    </row>
    <row r="118" spans="1:20" s="77" customFormat="1" x14ac:dyDescent="0.25">
      <c r="A118" s="72"/>
      <c r="B118" s="73" t="s">
        <v>110</v>
      </c>
      <c r="C118" s="73"/>
      <c r="D118" s="72"/>
      <c r="E118" s="72"/>
      <c r="F118" s="72"/>
      <c r="G118" s="72"/>
      <c r="H118" s="72"/>
      <c r="I118" s="72"/>
      <c r="J118" s="72"/>
      <c r="K118" s="74"/>
      <c r="L118" s="74"/>
      <c r="M118" s="79"/>
      <c r="N118" s="79"/>
      <c r="O118" s="75"/>
      <c r="P118" s="75"/>
      <c r="Q118" s="75"/>
      <c r="R118" s="76"/>
      <c r="S118" s="76"/>
      <c r="T118" s="76"/>
    </row>
    <row r="119" spans="1:20" x14ac:dyDescent="0.25">
      <c r="A119" s="70">
        <v>1</v>
      </c>
      <c r="B119" s="78" t="s">
        <v>186</v>
      </c>
      <c r="C119" s="78" t="s">
        <v>142</v>
      </c>
      <c r="D119" s="70"/>
      <c r="E119" s="70">
        <v>1</v>
      </c>
      <c r="F119" s="70"/>
      <c r="G119" s="70">
        <v>2.2999999999999998</v>
      </c>
      <c r="H119" s="70"/>
      <c r="I119" s="70"/>
      <c r="J119" s="70"/>
      <c r="K119" s="79">
        <f>SUM(M119*20/100)</f>
        <v>3961</v>
      </c>
      <c r="L119" s="79"/>
      <c r="M119" s="79">
        <v>19805</v>
      </c>
      <c r="N119" s="79">
        <f t="shared" ref="N119:N131" si="11">M119*E119</f>
        <v>19805</v>
      </c>
      <c r="O119" s="80">
        <f>SUM(M2*G119)</f>
        <v>19806.7536</v>
      </c>
    </row>
    <row r="120" spans="1:20" x14ac:dyDescent="0.25">
      <c r="A120" s="70">
        <v>2</v>
      </c>
      <c r="B120" s="89" t="s">
        <v>168</v>
      </c>
      <c r="C120" s="78"/>
      <c r="D120" s="70"/>
      <c r="E120" s="70">
        <v>6</v>
      </c>
      <c r="F120" s="70"/>
      <c r="G120" s="70">
        <v>1.8</v>
      </c>
      <c r="H120" s="114">
        <v>1.88</v>
      </c>
      <c r="I120" s="98">
        <v>1</v>
      </c>
      <c r="J120" s="98"/>
      <c r="K120" s="100">
        <f>M120*7/100+M120*15/100+M120*20/100+M120*15/100</f>
        <v>5840.6486399999994</v>
      </c>
      <c r="L120" s="100">
        <f>M120/A4</f>
        <v>58.664610687022908</v>
      </c>
      <c r="M120" s="115">
        <f t="shared" ref="M120:M124" si="12">A$2*G120*H120*I120</f>
        <v>10246.752</v>
      </c>
      <c r="N120" s="79">
        <f t="shared" si="11"/>
        <v>61480.512000000002</v>
      </c>
      <c r="O120" s="99">
        <f>SUM(A2*G120*H120*I120/166.17)</f>
        <v>61.664271529156892</v>
      </c>
    </row>
    <row r="121" spans="1:20" ht="25.5" x14ac:dyDescent="0.25">
      <c r="A121" s="70">
        <v>3</v>
      </c>
      <c r="B121" s="89" t="s">
        <v>169</v>
      </c>
      <c r="C121" s="78"/>
      <c r="D121" s="70"/>
      <c r="E121" s="70">
        <v>2</v>
      </c>
      <c r="F121" s="70"/>
      <c r="G121" s="70">
        <v>1.8</v>
      </c>
      <c r="H121" s="114">
        <v>2.2200000000000002</v>
      </c>
      <c r="I121" s="98">
        <v>1</v>
      </c>
      <c r="J121" s="98"/>
      <c r="K121" s="100">
        <f>M121*10/100+M121*10/100+M121*10/100+M121*7/100</f>
        <v>4476.9585600000009</v>
      </c>
      <c r="L121" s="100">
        <f>M121/A4</f>
        <v>69.274167938931313</v>
      </c>
      <c r="M121" s="115">
        <f t="shared" si="12"/>
        <v>12099.888000000003</v>
      </c>
      <c r="N121" s="79">
        <f t="shared" si="11"/>
        <v>24199.776000000005</v>
      </c>
      <c r="O121" s="99">
        <f>SUM(A2*G121*H121/166.17)</f>
        <v>72.816320635493796</v>
      </c>
    </row>
    <row r="122" spans="1:20" ht="25.5" x14ac:dyDescent="0.25">
      <c r="A122" s="70">
        <v>4</v>
      </c>
      <c r="B122" s="89" t="s">
        <v>170</v>
      </c>
      <c r="C122" s="78"/>
      <c r="D122" s="70"/>
      <c r="E122" s="70">
        <v>2</v>
      </c>
      <c r="F122" s="70"/>
      <c r="G122" s="70">
        <v>1.8</v>
      </c>
      <c r="H122" s="114">
        <v>2.6</v>
      </c>
      <c r="I122" s="98">
        <v>1</v>
      </c>
      <c r="J122" s="98"/>
      <c r="K122" s="100">
        <f>M122*7/100</f>
        <v>991.97280000000012</v>
      </c>
      <c r="L122" s="100">
        <f>M122/A4</f>
        <v>81.131908396946585</v>
      </c>
      <c r="M122" s="115">
        <f t="shared" si="12"/>
        <v>14171.040000000003</v>
      </c>
      <c r="N122" s="79">
        <f t="shared" si="11"/>
        <v>28342.080000000005</v>
      </c>
      <c r="O122" s="99">
        <f>SUM(A2*G122*H122/166.17)</f>
        <v>85.280375519046785</v>
      </c>
    </row>
    <row r="123" spans="1:20" ht="25.5" x14ac:dyDescent="0.25">
      <c r="A123" s="70">
        <v>5</v>
      </c>
      <c r="B123" s="89" t="s">
        <v>187</v>
      </c>
      <c r="C123" s="78"/>
      <c r="D123" s="70"/>
      <c r="E123" s="70">
        <v>1</v>
      </c>
      <c r="F123" s="70"/>
      <c r="G123" s="70">
        <v>1.8</v>
      </c>
      <c r="H123" s="114">
        <v>2.33</v>
      </c>
      <c r="I123" s="98">
        <v>1</v>
      </c>
      <c r="J123" s="98"/>
      <c r="K123" s="100">
        <f>M123*7/100</f>
        <v>888.96024000000023</v>
      </c>
      <c r="L123" s="100">
        <f>M123/A4</f>
        <v>72.70667175572521</v>
      </c>
      <c r="M123" s="115">
        <f t="shared" si="12"/>
        <v>12699.432000000003</v>
      </c>
      <c r="N123" s="79">
        <f>SUM(E123*M123)</f>
        <v>12699.432000000003</v>
      </c>
      <c r="O123" s="99">
        <f>SUM(A2*G123*H123/166.17)</f>
        <v>76.424336522838075</v>
      </c>
    </row>
    <row r="124" spans="1:20" ht="25.5" x14ac:dyDescent="0.25">
      <c r="A124" s="70">
        <v>6</v>
      </c>
      <c r="B124" s="89" t="s">
        <v>191</v>
      </c>
      <c r="C124" s="78"/>
      <c r="D124" s="70"/>
      <c r="E124" s="70">
        <v>1</v>
      </c>
      <c r="F124" s="70">
        <v>6</v>
      </c>
      <c r="G124" s="70">
        <v>1.8</v>
      </c>
      <c r="H124" s="88">
        <v>2.4300000000000002</v>
      </c>
      <c r="I124" s="70">
        <v>1</v>
      </c>
      <c r="J124" s="70"/>
      <c r="K124" s="79">
        <f>M124*20/100</f>
        <v>2648.8944000000006</v>
      </c>
      <c r="L124" s="79">
        <f>M124/A4</f>
        <v>75.827129770992386</v>
      </c>
      <c r="M124" s="115">
        <f t="shared" si="12"/>
        <v>13244.472000000002</v>
      </c>
      <c r="N124" s="79">
        <f t="shared" si="11"/>
        <v>13244.472000000002</v>
      </c>
      <c r="O124" s="99">
        <f>SUM(A3*G124*H124/166.17)</f>
        <v>55.171836071493054</v>
      </c>
    </row>
    <row r="125" spans="1:20" x14ac:dyDescent="0.25">
      <c r="A125" s="70">
        <v>7</v>
      </c>
      <c r="B125" s="78" t="s">
        <v>115</v>
      </c>
      <c r="C125" s="78"/>
      <c r="D125" s="70"/>
      <c r="E125" s="70">
        <v>1</v>
      </c>
      <c r="F125" s="70">
        <v>6</v>
      </c>
      <c r="G125" s="70">
        <v>1.8</v>
      </c>
      <c r="H125" s="70">
        <v>1.8</v>
      </c>
      <c r="I125" s="70">
        <v>1.58</v>
      </c>
      <c r="J125" s="70"/>
      <c r="K125" s="79">
        <f>M125*20/100</f>
        <v>3100.1875200000004</v>
      </c>
      <c r="L125" s="79">
        <f>M125/A4</f>
        <v>88.745825954198494</v>
      </c>
      <c r="M125" s="79">
        <f t="shared" ref="M125:M131" si="13">A$2*G125*H125*I125</f>
        <v>15500.937600000003</v>
      </c>
      <c r="N125" s="79">
        <f t="shared" si="11"/>
        <v>15500.937600000003</v>
      </c>
    </row>
    <row r="126" spans="1:20" x14ac:dyDescent="0.25">
      <c r="A126" s="70">
        <v>8</v>
      </c>
      <c r="B126" s="78" t="s">
        <v>171</v>
      </c>
      <c r="C126" s="78"/>
      <c r="D126" s="70"/>
      <c r="E126" s="70">
        <v>2</v>
      </c>
      <c r="F126" s="70">
        <v>6</v>
      </c>
      <c r="G126" s="70">
        <v>1.8</v>
      </c>
      <c r="H126" s="70">
        <v>1.8</v>
      </c>
      <c r="I126" s="70">
        <v>1.58</v>
      </c>
      <c r="J126" s="70"/>
      <c r="K126" s="79">
        <f>M126*15/100+M126*10/100</f>
        <v>3875.2344000000007</v>
      </c>
      <c r="L126" s="79">
        <f>M126/A4</f>
        <v>88.745825954198494</v>
      </c>
      <c r="M126" s="79">
        <f t="shared" si="13"/>
        <v>15500.937600000003</v>
      </c>
      <c r="N126" s="79">
        <f t="shared" si="11"/>
        <v>31001.875200000006</v>
      </c>
    </row>
    <row r="127" spans="1:20" x14ac:dyDescent="0.25">
      <c r="A127" s="70">
        <v>9</v>
      </c>
      <c r="B127" s="78" t="s">
        <v>172</v>
      </c>
      <c r="C127" s="78"/>
      <c r="D127" s="70"/>
      <c r="E127" s="70">
        <v>1</v>
      </c>
      <c r="F127" s="70">
        <v>6</v>
      </c>
      <c r="G127" s="70">
        <v>1.8</v>
      </c>
      <c r="H127" s="70">
        <v>1.8</v>
      </c>
      <c r="I127" s="70">
        <v>1.58</v>
      </c>
      <c r="J127" s="70"/>
      <c r="K127" s="79">
        <f>M127*7/100</f>
        <v>1085.0656320000003</v>
      </c>
      <c r="L127" s="79">
        <f>M127/A4</f>
        <v>88.745825954198494</v>
      </c>
      <c r="M127" s="79">
        <f t="shared" si="13"/>
        <v>15500.937600000003</v>
      </c>
      <c r="N127" s="79">
        <f t="shared" si="11"/>
        <v>15500.937600000003</v>
      </c>
    </row>
    <row r="128" spans="1:20" x14ac:dyDescent="0.25">
      <c r="A128" s="70">
        <v>10</v>
      </c>
      <c r="B128" s="78" t="s">
        <v>172</v>
      </c>
      <c r="C128" s="78"/>
      <c r="D128" s="70"/>
      <c r="E128" s="70">
        <v>2</v>
      </c>
      <c r="F128" s="70">
        <v>5</v>
      </c>
      <c r="G128" s="70">
        <v>1.8</v>
      </c>
      <c r="H128" s="70">
        <v>1.54</v>
      </c>
      <c r="I128" s="70">
        <v>1.58</v>
      </c>
      <c r="J128" s="70"/>
      <c r="K128" s="79">
        <f>M128*10/100</f>
        <v>1326.1913280000006</v>
      </c>
      <c r="L128" s="79">
        <f>M128/A4</f>
        <v>75.926984427480946</v>
      </c>
      <c r="M128" s="79">
        <f t="shared" si="13"/>
        <v>13261.913280000004</v>
      </c>
      <c r="N128" s="79">
        <f t="shared" si="11"/>
        <v>26523.826560000009</v>
      </c>
    </row>
    <row r="129" spans="1:20" x14ac:dyDescent="0.25">
      <c r="A129" s="70">
        <v>11</v>
      </c>
      <c r="B129" s="78" t="s">
        <v>117</v>
      </c>
      <c r="C129" s="78"/>
      <c r="D129" s="70"/>
      <c r="E129" s="70">
        <v>1</v>
      </c>
      <c r="F129" s="70">
        <v>6</v>
      </c>
      <c r="G129" s="70">
        <v>1.8</v>
      </c>
      <c r="H129" s="70">
        <v>1.8</v>
      </c>
      <c r="I129" s="70">
        <v>1.58</v>
      </c>
      <c r="J129" s="70"/>
      <c r="K129" s="79">
        <f>M129*25/100</f>
        <v>3875.2344000000007</v>
      </c>
      <c r="L129" s="79">
        <f>M129/A4</f>
        <v>88.745825954198494</v>
      </c>
      <c r="M129" s="79">
        <f t="shared" si="13"/>
        <v>15500.937600000003</v>
      </c>
      <c r="N129" s="79">
        <f t="shared" si="11"/>
        <v>15500.937600000003</v>
      </c>
    </row>
    <row r="130" spans="1:20" x14ac:dyDescent="0.25">
      <c r="A130" s="70">
        <v>12</v>
      </c>
      <c r="B130" s="78" t="s">
        <v>118</v>
      </c>
      <c r="C130" s="78"/>
      <c r="D130" s="70"/>
      <c r="E130" s="70">
        <v>3</v>
      </c>
      <c r="F130" s="70">
        <v>5</v>
      </c>
      <c r="G130" s="70">
        <v>1.8</v>
      </c>
      <c r="H130" s="70">
        <v>1.54</v>
      </c>
      <c r="I130" s="70">
        <v>1.58</v>
      </c>
      <c r="J130" s="70"/>
      <c r="K130" s="79">
        <f>M130*20/100+M130*7/100/2</f>
        <v>3116.5496208000013</v>
      </c>
      <c r="L130" s="79">
        <f>M130/A4</f>
        <v>75.926984427480946</v>
      </c>
      <c r="M130" s="79">
        <f t="shared" si="13"/>
        <v>13261.913280000004</v>
      </c>
      <c r="N130" s="79">
        <f t="shared" si="11"/>
        <v>39785.739840000009</v>
      </c>
    </row>
    <row r="131" spans="1:20" x14ac:dyDescent="0.25">
      <c r="A131" s="70">
        <v>13</v>
      </c>
      <c r="B131" s="78" t="s">
        <v>108</v>
      </c>
      <c r="C131" s="78"/>
      <c r="D131" s="70"/>
      <c r="E131" s="70">
        <v>1</v>
      </c>
      <c r="F131" s="70">
        <v>5</v>
      </c>
      <c r="G131" s="70">
        <v>1.8</v>
      </c>
      <c r="H131" s="70">
        <v>1.54</v>
      </c>
      <c r="I131" s="70">
        <v>1.58</v>
      </c>
      <c r="J131" s="70"/>
      <c r="K131" s="79">
        <f>M131*7/100</f>
        <v>928.33392960000026</v>
      </c>
      <c r="L131" s="79">
        <f>M131/A4</f>
        <v>75.926984427480946</v>
      </c>
      <c r="M131" s="79">
        <f t="shared" si="13"/>
        <v>13261.913280000004</v>
      </c>
      <c r="N131" s="79">
        <f t="shared" si="11"/>
        <v>13261.913280000004</v>
      </c>
    </row>
    <row r="132" spans="1:20" s="77" customFormat="1" x14ac:dyDescent="0.25">
      <c r="A132" s="72"/>
      <c r="B132" s="73" t="s">
        <v>25</v>
      </c>
      <c r="C132" s="73"/>
      <c r="D132" s="72"/>
      <c r="E132" s="72">
        <f>SUM(E119:E131)</f>
        <v>24</v>
      </c>
      <c r="F132" s="72"/>
      <c r="G132" s="72"/>
      <c r="H132" s="72"/>
      <c r="I132" s="72"/>
      <c r="J132" s="72"/>
      <c r="K132" s="74">
        <f>SUM(K119:K131)</f>
        <v>36115.231470400002</v>
      </c>
      <c r="L132" s="74"/>
      <c r="M132" s="74"/>
      <c r="N132" s="74">
        <f>SUM(N119:N131)</f>
        <v>316847.43968000001</v>
      </c>
      <c r="O132" s="87"/>
      <c r="P132" s="75"/>
      <c r="Q132" s="75"/>
      <c r="R132" s="76"/>
      <c r="S132" s="76"/>
      <c r="T132" s="76"/>
    </row>
    <row r="133" spans="1:20" s="77" customFormat="1" x14ac:dyDescent="0.25">
      <c r="A133" s="72"/>
      <c r="B133" s="73" t="s">
        <v>120</v>
      </c>
      <c r="C133" s="73"/>
      <c r="D133" s="72"/>
      <c r="E133" s="72"/>
      <c r="F133" s="72"/>
      <c r="G133" s="72"/>
      <c r="H133" s="72"/>
      <c r="I133" s="72"/>
      <c r="J133" s="72"/>
      <c r="K133" s="74"/>
      <c r="L133" s="74"/>
      <c r="M133" s="79"/>
      <c r="N133" s="79"/>
      <c r="O133" s="75"/>
      <c r="P133" s="75"/>
      <c r="Q133" s="75"/>
      <c r="R133" s="76"/>
      <c r="S133" s="76"/>
      <c r="T133" s="76"/>
    </row>
    <row r="134" spans="1:20" x14ac:dyDescent="0.25">
      <c r="A134" s="70">
        <v>1</v>
      </c>
      <c r="B134" s="78" t="s">
        <v>121</v>
      </c>
      <c r="C134" s="78" t="s">
        <v>142</v>
      </c>
      <c r="D134" s="70"/>
      <c r="E134" s="70">
        <v>1</v>
      </c>
      <c r="F134" s="70"/>
      <c r="G134" s="88">
        <v>2.15</v>
      </c>
      <c r="H134" s="70"/>
      <c r="I134" s="70"/>
      <c r="J134" s="70"/>
      <c r="K134" s="79"/>
      <c r="L134" s="79"/>
      <c r="M134" s="79">
        <v>18515</v>
      </c>
      <c r="N134" s="79">
        <f t="shared" ref="N134:N135" si="14">M134*E134</f>
        <v>18515</v>
      </c>
      <c r="O134" s="80">
        <f>SUM(M2*G134)</f>
        <v>18515.008800000003</v>
      </c>
    </row>
    <row r="135" spans="1:20" x14ac:dyDescent="0.25">
      <c r="A135" s="70">
        <v>2</v>
      </c>
      <c r="B135" s="78" t="s">
        <v>122</v>
      </c>
      <c r="C135" s="78"/>
      <c r="D135" s="70"/>
      <c r="E135" s="70">
        <v>10</v>
      </c>
      <c r="F135" s="70"/>
      <c r="G135" s="70"/>
      <c r="H135" s="98"/>
      <c r="I135" s="98"/>
      <c r="J135" s="98"/>
      <c r="K135" s="100"/>
      <c r="L135" s="100"/>
      <c r="M135" s="100">
        <v>7100</v>
      </c>
      <c r="N135" s="79">
        <f t="shared" si="14"/>
        <v>71000</v>
      </c>
      <c r="O135" s="99">
        <f>SUM(A19*G135*H135*I135/166.17)</f>
        <v>0</v>
      </c>
    </row>
    <row r="136" spans="1:20" s="77" customFormat="1" x14ac:dyDescent="0.25">
      <c r="A136" s="72"/>
      <c r="B136" s="73" t="s">
        <v>25</v>
      </c>
      <c r="C136" s="73"/>
      <c r="D136" s="72"/>
      <c r="E136" s="72">
        <f>SUM(E134:E135)</f>
        <v>11</v>
      </c>
      <c r="F136" s="72"/>
      <c r="G136" s="72"/>
      <c r="H136" s="72"/>
      <c r="I136" s="72"/>
      <c r="J136" s="72"/>
      <c r="K136" s="74">
        <f>SUM(K134:K135)</f>
        <v>0</v>
      </c>
      <c r="L136" s="74"/>
      <c r="M136" s="74"/>
      <c r="N136" s="74">
        <f>SUM(N134:N135)</f>
        <v>89515</v>
      </c>
      <c r="O136" s="87"/>
      <c r="P136" s="75"/>
      <c r="Q136" s="75"/>
      <c r="R136" s="76"/>
      <c r="S136" s="76"/>
      <c r="T136" s="76"/>
    </row>
    <row r="137" spans="1:20" s="77" customFormat="1" x14ac:dyDescent="0.25">
      <c r="A137" s="72"/>
      <c r="B137" s="73" t="s">
        <v>173</v>
      </c>
      <c r="C137" s="73"/>
      <c r="D137" s="72"/>
      <c r="E137" s="72">
        <f>E16+E21+E25+E37+E41+E45+E52+E56+E60+E65+E77+E93+E98+E103+E117+E132+E136</f>
        <v>194</v>
      </c>
      <c r="F137" s="72"/>
      <c r="G137" s="72"/>
      <c r="H137" s="72"/>
      <c r="I137" s="72"/>
      <c r="J137" s="72"/>
      <c r="K137" s="74">
        <f>K16+K21+K25+K37+K41+K45+K52+K56+K60+K65+K77+K93+K103+K117+K132+K136</f>
        <v>212002.71095520005</v>
      </c>
      <c r="L137" s="74"/>
      <c r="M137" s="74"/>
      <c r="N137" s="74">
        <f>N16+N21+N25+N37+N41+N45+N52+N56+N60+N65+N77+N93+N98+N103+N117+N132+N136</f>
        <v>2568048.3032</v>
      </c>
      <c r="O137" s="75"/>
      <c r="P137" s="75"/>
      <c r="Q137" s="75"/>
      <c r="R137" s="76"/>
      <c r="S137" s="76"/>
      <c r="T137" s="76"/>
    </row>
    <row r="138" spans="1:20" x14ac:dyDescent="0.25">
      <c r="K138" s="68" t="s">
        <v>158</v>
      </c>
    </row>
    <row r="140" spans="1:20" ht="18.75" x14ac:dyDescent="0.25">
      <c r="B140" s="118" t="s">
        <v>200</v>
      </c>
      <c r="C140" s="118"/>
      <c r="D140" s="119"/>
      <c r="E140" s="119"/>
      <c r="F140" s="119"/>
      <c r="G140" s="148" t="s">
        <v>201</v>
      </c>
      <c r="H140" s="149"/>
      <c r="I140" s="149"/>
    </row>
    <row r="141" spans="1:20" ht="18.75" x14ac:dyDescent="0.25">
      <c r="B141" s="118"/>
      <c r="C141" s="118"/>
      <c r="D141" s="119"/>
      <c r="E141" s="119"/>
      <c r="F141" s="119"/>
      <c r="G141" s="119"/>
      <c r="H141" s="119"/>
      <c r="I141" s="119"/>
    </row>
    <row r="142" spans="1:20" ht="18.75" x14ac:dyDescent="0.25">
      <c r="B142" s="118" t="s">
        <v>202</v>
      </c>
      <c r="C142" s="118"/>
      <c r="D142" s="119"/>
      <c r="E142" s="119"/>
      <c r="F142" s="119"/>
      <c r="G142" s="148" t="s">
        <v>190</v>
      </c>
      <c r="H142" s="149"/>
      <c r="I142" s="149"/>
      <c r="N142" s="99"/>
    </row>
    <row r="143" spans="1:20" ht="18.75" x14ac:dyDescent="0.25">
      <c r="B143" s="117" t="s">
        <v>125</v>
      </c>
      <c r="C143" s="118"/>
      <c r="D143" s="119"/>
      <c r="E143" s="119"/>
      <c r="F143" s="119"/>
      <c r="G143" s="119"/>
      <c r="H143" s="119"/>
      <c r="I143" s="119"/>
    </row>
    <row r="144" spans="1:20" ht="18.75" x14ac:dyDescent="0.25">
      <c r="B144" s="118" t="s">
        <v>126</v>
      </c>
      <c r="C144" s="118"/>
      <c r="D144" s="119"/>
      <c r="E144" s="119"/>
      <c r="F144" s="119"/>
      <c r="G144" s="148" t="s">
        <v>203</v>
      </c>
      <c r="H144" s="149"/>
      <c r="I144" s="149"/>
    </row>
    <row r="147" spans="2:20" x14ac:dyDescent="0.25">
      <c r="N147" s="99"/>
    </row>
    <row r="148" spans="2:20" x14ac:dyDescent="0.25">
      <c r="N148" s="99"/>
    </row>
    <row r="150" spans="2:20" s="68" customFormat="1" x14ac:dyDescent="0.25">
      <c r="B150" s="106"/>
      <c r="C150" s="106"/>
      <c r="N150" s="99"/>
      <c r="R150" s="69"/>
      <c r="S150" s="69"/>
      <c r="T150" s="69"/>
    </row>
  </sheetData>
  <mergeCells count="5">
    <mergeCell ref="G144:I144"/>
    <mergeCell ref="N2:O2"/>
    <mergeCell ref="M3:N3"/>
    <mergeCell ref="G140:I140"/>
    <mergeCell ref="G142:I142"/>
  </mergeCells>
  <pageMargins left="0.7" right="0.7" top="0.75" bottom="0.75" header="0.3" footer="0.3"/>
  <pageSetup paperSize="9" scale="74" fitToHeight="0" orientation="landscape" r:id="rId1"/>
  <rowBreaks count="1" manualBreakCount="1">
    <brk id="11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штатний розпис</vt:lpstr>
      <vt:lpstr>Лист1</vt:lpstr>
      <vt:lpstr>Лист1!Область_печати</vt:lpstr>
      <vt:lpstr>'штатний розпис'!Область_печати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відділ кадрів</cp:lastModifiedBy>
  <cp:lastPrinted>2024-02-29T13:49:39Z</cp:lastPrinted>
  <dcterms:created xsi:type="dcterms:W3CDTF">2023-01-03T09:35:11Z</dcterms:created>
  <dcterms:modified xsi:type="dcterms:W3CDTF">2024-08-28T11:26:59Z</dcterms:modified>
</cp:coreProperties>
</file>