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881" firstSheet="5" activeTab="5"/>
  </bookViews>
  <sheets>
    <sheet name="Розр. до пояснення 2020" sheetId="1" state="hidden" r:id="rId1"/>
    <sheet name="Прогнозований план 2020" sheetId="2" state="hidden" r:id="rId2"/>
    <sheet name="Фін.план 2020 (проект)" sheetId="3" state="hidden" r:id="rId3"/>
    <sheet name="План 2020 (помісячно)" sheetId="4" state="hidden" r:id="rId4"/>
    <sheet name="Фін.план 2020 (зміни 1)" sheetId="5" state="hidden" r:id="rId5"/>
    <sheet name="Звіт Фін.план 2020" sheetId="6" r:id="rId6"/>
    <sheet name="Звіт 2019" sheetId="7" state="hidden" r:id="rId7"/>
    <sheet name="Звіт 2018" sheetId="8" state="hidden" r:id="rId8"/>
    <sheet name="План коди 2020 (зміни 1)" sheetId="9" state="hidden" r:id="rId9"/>
    <sheet name="Лист1" sheetId="10" state="hidden" r:id="rId10"/>
  </sheets>
  <externalReferences>
    <externalReference r:id="rId13"/>
  </externalReferences>
  <definedNames/>
  <calcPr fullCalcOnLoad="1"/>
</workbook>
</file>

<file path=xl/sharedStrings.xml><?xml version="1.0" encoding="utf-8"?>
<sst xmlns="http://schemas.openxmlformats.org/spreadsheetml/2006/main" count="2595" uniqueCount="974">
  <si>
    <t>Без застосування електронної системи</t>
  </si>
  <si>
    <t>Конкретна Назва предмета закупівлі, обов'язкове</t>
  </si>
  <si>
    <t>Очікувана вартість предмета закупівлі</t>
  </si>
  <si>
    <t>грн</t>
  </si>
  <si>
    <t>90510000-5</t>
  </si>
  <si>
    <t>Утилізація сміття та поводження зі сміттям (Вивіз сміття)</t>
  </si>
  <si>
    <t>50310000-1</t>
  </si>
  <si>
    <t>Технічне обслуговування і ремонт офісної техніки</t>
  </si>
  <si>
    <t>48170000-0</t>
  </si>
  <si>
    <t>09210000-4</t>
  </si>
  <si>
    <t>09132000-3</t>
  </si>
  <si>
    <t>Бензин</t>
  </si>
  <si>
    <t>19520000-7</t>
  </si>
  <si>
    <t>19640000-4</t>
  </si>
  <si>
    <t>Поліетиленові мішки та пакети для сміття</t>
  </si>
  <si>
    <t>Комп’ютерне обладнання та приладдя</t>
  </si>
  <si>
    <t>33760000-5</t>
  </si>
  <si>
    <t>Туалетний папір, носові хустинки, рушники для рук і серветки</t>
  </si>
  <si>
    <t>44520000-1</t>
  </si>
  <si>
    <t>Замки, ключі та петлі</t>
  </si>
  <si>
    <t>44410000-7</t>
  </si>
  <si>
    <t>Вироби для ванної кімнати та кухні</t>
  </si>
  <si>
    <t>Всього</t>
  </si>
  <si>
    <t>22820000-4</t>
  </si>
  <si>
    <t>Бланки (Рецептурні бланки ф. №3)</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</si>
  <si>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</si>
  <si>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</si>
  <si>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</si>
  <si>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</si>
  <si>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</si>
  <si>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</si>
  <si>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</si>
  <si>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09320000-8</t>
  </si>
  <si>
    <t>Пара, гаряча вода та пов’язана продукція</t>
  </si>
  <si>
    <t>45232421-9</t>
  </si>
  <si>
    <t>Очищення стічних вод</t>
  </si>
  <si>
    <t>41110000-3</t>
  </si>
  <si>
    <t>Питна вода</t>
  </si>
  <si>
    <t>Послуги з навчання персоналу</t>
  </si>
  <si>
    <t>80511000-9</t>
  </si>
  <si>
    <t>33600000-6</t>
  </si>
  <si>
    <t>Пластмасові вироби (Відра пластмасові, совки, пластмасові ємкості)</t>
  </si>
  <si>
    <t>Газети, періодичні спеціалізовані та інші періодичні видання і журнали</t>
  </si>
  <si>
    <t>44220000-8</t>
  </si>
  <si>
    <t>Основні органічні та неорганічні хімічні речовини (Ethanol (Етиловий спирт))</t>
  </si>
  <si>
    <t>24300000-7</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</si>
  <si>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</si>
  <si>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</si>
  <si>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</si>
  <si>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</si>
  <si>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45430000-0</t>
  </si>
  <si>
    <t>Банківські послуги</t>
  </si>
  <si>
    <t>Послуги у сфері охорони здоров’я</t>
  </si>
  <si>
    <t>85100000-0</t>
  </si>
  <si>
    <t>Розподіл газу</t>
  </si>
  <si>
    <t>65210000-8</t>
  </si>
  <si>
    <t>Природний газ</t>
  </si>
  <si>
    <t>09123000-7</t>
  </si>
  <si>
    <t>кількість</t>
  </si>
  <si>
    <t>вартість</t>
  </si>
  <si>
    <t>ЗАТВЕРДЖЕНО</t>
  </si>
  <si>
    <t>рішення міської ради</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</si>
  <si>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</si>
  <si>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</si>
  <si>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</si>
  <si>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</si>
  <si>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</si>
  <si>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</si>
  <si>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</si>
  <si>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</si>
  <si>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</si>
  <si>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</si>
  <si>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</si>
  <si>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</si>
  <si>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</si>
  <si>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</si>
  <si>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</si>
  <si>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</si>
  <si>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</si>
  <si>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</si>
  <si>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</si>
  <si>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</si>
  <si>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</si>
  <si>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</si>
  <si>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</si>
  <si>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</si>
  <si>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</si>
  <si>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</si>
  <si>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</si>
  <si>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</si>
  <si>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</si>
  <si>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</si>
  <si>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</si>
  <si>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</si>
  <si>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</si>
  <si>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</si>
  <si>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</si>
  <si>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</si>
  <si>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</si>
  <si>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</si>
  <si>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</si>
  <si>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</si>
  <si>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</si>
  <si>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</si>
  <si>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</si>
  <si>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</si>
  <si>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</si>
  <si>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</si>
  <si>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</si>
  <si>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</si>
  <si>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</si>
  <si>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</si>
  <si>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</si>
  <si>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</si>
  <si>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</si>
  <si>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</si>
  <si>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</si>
  <si>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</si>
  <si>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</si>
  <si>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</si>
  <si>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</si>
  <si>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</si>
  <si>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</si>
  <si>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</si>
  <si>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</si>
  <si>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</si>
  <si>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</si>
  <si>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</si>
  <si>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</si>
  <si>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</si>
  <si>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</si>
  <si>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що здійснюються для підтримання об’єкта в робочому стані (проведення поточного ремонту)</t>
  </si>
  <si>
    <t>Амортизація</t>
  </si>
  <si>
    <t>Інші витрати (розшифрувати)</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</si>
  <si>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</si>
  <si>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</si>
  <si>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витрати на службові відрядження</t>
  </si>
  <si>
    <t>витрати на оплату праці</t>
  </si>
  <si>
    <t>відрахування на соціальні заходи</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</si>
  <si>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</si>
  <si>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</si>
  <si>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</si>
  <si>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</si>
  <si>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</si>
  <si>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</si>
  <si>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</si>
  <si>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</si>
  <si>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</si>
  <si>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</si>
  <si>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</si>
  <si>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</si>
  <si>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</si>
  <si>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</si>
  <si>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</si>
  <si>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</si>
  <si>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</si>
  <si>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</si>
  <si>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</si>
  <si>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</si>
  <si>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</si>
  <si>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</si>
  <si>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</si>
  <si>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</si>
  <si>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</si>
  <si>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</si>
  <si>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</si>
  <si>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</si>
  <si>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</si>
  <si>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</si>
  <si>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</si>
  <si>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</si>
  <si>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</si>
  <si>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</si>
  <si>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</si>
  <si>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</si>
  <si>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</si>
  <si>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_________________________</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</si>
  <si>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</si>
  <si>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</si>
  <si>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</si>
  <si>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</si>
  <si>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</si>
  <si>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Електрична енергія</t>
  </si>
  <si>
    <t>КНП КМР "Коломийський міський центр ПМСД"</t>
  </si>
  <si>
    <t>Код рядка</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</si>
  <si>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</si>
  <si>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</si>
  <si>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</si>
  <si>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</si>
  <si>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</si>
  <si>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</si>
  <si>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</si>
  <si>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</si>
  <si>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</si>
  <si>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</si>
  <si>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210, 269</t>
  </si>
  <si>
    <t>Витрати на охорону праці та навчання працівників</t>
  </si>
  <si>
    <t>200, 263</t>
  </si>
  <si>
    <t>оплата за 1 день</t>
  </si>
  <si>
    <t>Витрати на відрядження працівників</t>
  </si>
  <si>
    <t>380 (382)</t>
  </si>
  <si>
    <t>Капітальні інвестиції (придбання (виготовлення) основних засобів)</t>
  </si>
  <si>
    <t>Інші витрати (санітарно-гігієнічні послуги)</t>
  </si>
  <si>
    <t>інші адміністративні витрати (юридичні послуги, штрафи, пені, неустойки)</t>
  </si>
  <si>
    <t>Інші адміністративні витрати (юридичні послуги, штрафи, пені, неустойки)</t>
  </si>
  <si>
    <t>Юридичні послуги, штрафи, пені, неустойки</t>
  </si>
  <si>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rPr>
      <t xml:space="preserve"> Розмір</t>
    </r>
    <r>
      <rPr>
        <sz val="12"/>
        <rFont val="Times New Roman"/>
        <family val="1"/>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rPr>
      <t>СУМА</t>
    </r>
    <r>
      <rPr>
        <sz val="12"/>
        <rFont val="Times New Roman"/>
        <family val="1"/>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</si>
  <si>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</si>
  <si>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</si>
  <si>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</si>
  <si>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</si>
  <si>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</si>
  <si>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</si>
  <si>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</si>
  <si>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</si>
  <si>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</si>
  <si>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380 (386)</t>
  </si>
  <si>
    <t>Капітальний ремонт</t>
  </si>
  <si>
    <t>Проведення капітального ремонту приміщення для відкриття амбулаторії ЗПСМ</t>
  </si>
  <si>
    <t>39710000-2</t>
  </si>
  <si>
    <t>Переговорна процедура скорочена</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</si>
  <si>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</si>
  <si>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</si>
  <si>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</si>
  <si>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</si>
  <si>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</si>
  <si>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</si>
  <si>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</si>
  <si>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</si>
  <si>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</si>
  <si>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</si>
  <si>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</si>
  <si>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</si>
  <si>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</si>
  <si>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</si>
  <si>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</si>
  <si>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</si>
  <si>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</si>
  <si>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</si>
  <si>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</si>
  <si>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</si>
  <si>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</si>
  <si>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</si>
  <si>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</si>
  <si>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</si>
  <si>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</si>
  <si>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</si>
  <si>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</si>
  <si>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</si>
  <si>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</si>
  <si>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</si>
  <si>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</si>
  <si>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</si>
  <si>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</si>
  <si>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</si>
  <si>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</si>
  <si>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</si>
  <si>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</si>
  <si>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</si>
  <si>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</si>
  <si>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</si>
  <si>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</si>
  <si>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</si>
  <si>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</si>
  <si>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</si>
  <si>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</si>
  <si>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</si>
  <si>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</si>
  <si>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Електричні побутові прилади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</si>
  <si>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</si>
  <si>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</si>
  <si>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</si>
  <si>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</si>
  <si>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</si>
  <si>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</si>
  <si>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</si>
  <si>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</si>
  <si>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</si>
  <si>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</si>
  <si>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</si>
  <si>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</si>
  <si>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98390000-3</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</si>
  <si>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</si>
  <si>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</si>
  <si>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</si>
  <si>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</si>
  <si>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</si>
  <si>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</si>
  <si>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залишок на 1.01.</t>
  </si>
  <si>
    <t>залишок на 1.02.</t>
  </si>
  <si>
    <t>залишок на 1.03.</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</si>
  <si>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</si>
  <si>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</si>
  <si>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</si>
  <si>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</si>
  <si>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</si>
  <si>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</si>
  <si>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</si>
  <si>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</si>
  <si>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</si>
  <si>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</si>
  <si>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</si>
  <si>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</si>
  <si>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</si>
  <si>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</si>
  <si>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</si>
  <si>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</si>
  <si>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кредити / позики</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</si>
  <si>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</si>
  <si>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</si>
  <si>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є</t>
  </si>
  <si>
    <t>має бути</t>
  </si>
  <si>
    <t>різниця</t>
  </si>
  <si>
    <t>=N42+N45+N46+N51+N54+N55+N56+N57</t>
  </si>
  <si>
    <t>=N42+N45+N46+N51+SUM(N52:N59)</t>
  </si>
  <si>
    <t>=SUM(N43:N44)</t>
  </si>
  <si>
    <t>=SUM(N47:N50)</t>
  </si>
  <si>
    <t>=SUM(N61:N71)</t>
  </si>
  <si>
    <t>=SUM(N73:N74)</t>
  </si>
  <si>
    <t>=N52+N64</t>
  </si>
  <si>
    <t>=N53+N65</t>
  </si>
  <si>
    <t>=N58+N70</t>
  </si>
  <si>
    <t>=N59+N61+N62+N63+N66+N67+N68+N69+N71+N75</t>
  </si>
  <si>
    <t>на 2020 рік</t>
  </si>
  <si>
    <r>
      <rPr>
        <b/>
        <u val="single"/>
        <sz val="8"/>
        <rFont val="Times New Roman"/>
        <family val="1"/>
      </rPr>
      <t>Валюта:</t>
    </r>
    <r>
      <rPr>
        <b/>
        <sz val="8"/>
        <rFont val="Times New Roman"/>
        <family val="1"/>
      </rPr>
      <t xml:space="preserve"> грн</t>
    </r>
  </si>
  <si>
    <t>Переговорна процедура</t>
  </si>
  <si>
    <t>Звіт про укладений договір</t>
  </si>
  <si>
    <t>Відкриті торги</t>
  </si>
  <si>
    <t>Електричні лампи розжарення</t>
  </si>
  <si>
    <t>31510000-4</t>
  </si>
  <si>
    <t>Телевізійне й аудіовізуальне обладнання</t>
  </si>
  <si>
    <t>32320000-2</t>
  </si>
  <si>
    <t>Вироби домашнього текстилю (Ковдри, подушки, лікарняна білизна, жалюзі)</t>
  </si>
  <si>
    <t>Послуги, пов’язані з програмним забезпеченням (Виготовлення ЕЦП)</t>
  </si>
  <si>
    <t>72260000-5</t>
  </si>
  <si>
    <t>Рекламні та маркетингові послуги</t>
  </si>
  <si>
    <t>79340000-9</t>
  </si>
  <si>
    <t>Послуги з професійної підготовки спеціалістів (послуги з навчання персоналу)</t>
  </si>
  <si>
    <t>80510000-2</t>
  </si>
  <si>
    <t>Послуги з чищення каналізаційних колекторів</t>
  </si>
  <si>
    <t>90470000-2</t>
  </si>
  <si>
    <t>Рядок у ФП</t>
  </si>
  <si>
    <t>Типи процедур</t>
  </si>
  <si>
    <t>Класифікатор  ДК 021:2015</t>
  </si>
  <si>
    <t>Покривання підлоги та стін (Леонтовича 150,0, Шевченка 150,0)</t>
  </si>
  <si>
    <t>Пакети програмного забезпечення для контролю відповідності (Медікс (195,0))</t>
  </si>
  <si>
    <t>Легкові автомобілі</t>
  </si>
  <si>
    <t>34110000-1</t>
  </si>
  <si>
    <t>48820000-2</t>
  </si>
  <si>
    <t>на ІІІ кв.</t>
  </si>
  <si>
    <t>на ІІ кв.</t>
  </si>
  <si>
    <t>Сервери</t>
  </si>
  <si>
    <t>капрем</t>
  </si>
  <si>
    <t>гранти, платні послуги</t>
  </si>
  <si>
    <t>Дохід  (виручка) від фінансової діяльності та інші доходи (кредити, позики, гранти, платні послуги, депозити, оренда приміщень і т.д.)</t>
  </si>
  <si>
    <r>
      <t xml:space="preserve">ФІНАНСОВИЙ ПЛАН ПІДПРИЄМСТВА НА </t>
    </r>
    <r>
      <rPr>
        <b/>
        <u val="single"/>
        <sz val="14"/>
        <rFont val="Times New Roman"/>
        <family val="1"/>
      </rPr>
      <t xml:space="preserve"> 2020 </t>
    </r>
    <r>
      <rPr>
        <b/>
        <sz val="14"/>
        <rFont val="Times New Roman"/>
        <family val="1"/>
      </rPr>
      <t>рік</t>
    </r>
  </si>
  <si>
    <t>РОЗРАХУНКИ ДО ПРОЕКТУ ФІНАНСОВОГО ПЛАНУ</t>
  </si>
  <si>
    <t>тут забагато, перенести нижче</t>
  </si>
  <si>
    <t>Лічильні прилади</t>
  </si>
  <si>
    <t>38400000-2</t>
  </si>
  <si>
    <t>Високоточні трези (електронні ваги дорослі, дитячі)</t>
  </si>
  <si>
    <t>38310000-1</t>
  </si>
  <si>
    <t>не входить до класифікатора</t>
  </si>
  <si>
    <t>85140000-2</t>
  </si>
  <si>
    <t>Архітектурні, інженерні та планувальні послуги</t>
  </si>
  <si>
    <t>71240000-2</t>
  </si>
  <si>
    <t>Послуги з юридичного консультування та юридичного представництва (ліцензія)</t>
  </si>
  <si>
    <t>79110000-8</t>
  </si>
  <si>
    <t xml:space="preserve">Електромонтажні роботи </t>
  </si>
  <si>
    <t>45310000-3</t>
  </si>
  <si>
    <t>встановлення лічильника Привокзальна 13, збільшення потужності на села</t>
  </si>
  <si>
    <t>Послуги з інвентаризації</t>
  </si>
  <si>
    <t>79991000-7</t>
  </si>
  <si>
    <t>Гравій, пісок, щебінь і наповнювачі</t>
  </si>
  <si>
    <t>14210000-6</t>
  </si>
  <si>
    <t>Килимки</t>
  </si>
  <si>
    <t>39530000-6</t>
  </si>
  <si>
    <t>Медичні послуги</t>
  </si>
  <si>
    <t>72220000-3</t>
  </si>
  <si>
    <t>Тонометри</t>
  </si>
  <si>
    <t>38420000-5</t>
  </si>
  <si>
    <t>Будівельні товари</t>
  </si>
  <si>
    <t>44420000-0</t>
  </si>
  <si>
    <t>від 16.01.2020р.  № 4374-57/2020-57</t>
  </si>
  <si>
    <t>програма</t>
  </si>
  <si>
    <t>договір НСЗУ</t>
  </si>
  <si>
    <t>від 13.01.2020р.  № 0000-А835-М000</t>
  </si>
  <si>
    <t>сума</t>
  </si>
  <si>
    <t>Інші програми та заходи у сфері охорони здоров’я (Міська комплексна Програма «Здоров’я громади на 2019-2023 роки»), (гранти)</t>
  </si>
  <si>
    <t>Очікувана вартість (план)</t>
  </si>
  <si>
    <t>ціна за 1</t>
  </si>
  <si>
    <t>Фармацевтична продукція, Антисептичні та дезінфекційні засоби</t>
  </si>
  <si>
    <t>зарплата азпсм</t>
  </si>
  <si>
    <t>нарахування</t>
  </si>
  <si>
    <t>зарплата адмін</t>
  </si>
  <si>
    <r>
      <t>Покривання підлоги та стін (</t>
    </r>
    <r>
      <rPr>
        <sz val="12"/>
        <color indexed="10"/>
        <rFont val="Times New Roman"/>
        <family val="1"/>
      </rPr>
      <t>Капітальний ремонт</t>
    </r>
    <r>
      <rPr>
        <sz val="12"/>
        <color indexed="8"/>
        <rFont val="Times New Roman"/>
        <family val="1"/>
      </rPr>
      <t xml:space="preserve"> Шевченка, 38)</t>
    </r>
  </si>
  <si>
    <r>
      <t xml:space="preserve">Покривання підлоги та стін (Леонтовича 150,0, Шевченка 150,0) </t>
    </r>
    <r>
      <rPr>
        <sz val="12"/>
        <color indexed="10"/>
        <rFont val="Times New Roman"/>
        <family val="1"/>
      </rPr>
      <t>поточний ремонт</t>
    </r>
  </si>
  <si>
    <t>вартість зим.гуми на Дастер 2200*4</t>
  </si>
  <si>
    <t>33122000-1</t>
  </si>
  <si>
    <t>Офтальмологічне обладнання</t>
  </si>
  <si>
    <t>за листопад</t>
  </si>
  <si>
    <t>15880000-0</t>
  </si>
  <si>
    <t>Спеціальні продукти харчування, збагачені поживними речовинами (Спеціальне дієтичне харчування для дітей, хворих на фенілкетонурію)</t>
  </si>
  <si>
    <t>Безкоштовні, наркотики</t>
  </si>
  <si>
    <t>Медичні матеріали (Шприци, ланцети для дітей, хворих на ЦД І типу)</t>
  </si>
  <si>
    <t>Витрати на відшкодування вартості лікарських засобів</t>
  </si>
  <si>
    <t>38430000-8</t>
  </si>
  <si>
    <t>Детектори та аналізатори (код 35774 - Аналізатор сечі, напівавтоматичний)</t>
  </si>
  <si>
    <t>Найменування обладнання [1], устаткування та засобів</t>
  </si>
  <si>
    <t>ціна</t>
  </si>
  <si>
    <t>прогнозований індекс інфляції</t>
  </si>
  <si>
    <t>Пульсоксиметр портативний дитячий (MD300K2 (2 датчика - взрослый и неонатальный) с определением индекса перфузии)</t>
  </si>
  <si>
    <t>         7 680,00</t>
  </si>
  <si>
    <t>              10,00</t>
  </si>
  <si>
    <t>       76 800,00</t>
  </si>
  <si>
    <t>Системи реєстрації медичної інформації та дослідне обладнання</t>
  </si>
  <si>
    <t>Придбання телемедичного обладнання для амбулаторії загальної практики сімейної медицини по вул. О.Кобилянської, 3, с. Саджавка Коломийського району</t>
  </si>
  <si>
    <t>     110 000,00</t>
  </si>
  <si>
    <t>                1,00</t>
  </si>
  <si>
    <t>Електрокардіограф [2] (Електрокардіограф 6/12 канальний 600G)</t>
  </si>
  <si>
    <t>       28 300,00</t>
  </si>
  <si>
    <t>                4,00</t>
  </si>
  <si>
    <t>     113 200,00</t>
  </si>
  <si>
    <t>     300 000,00</t>
  </si>
  <si>
    <t>Інші надходження (оренда, інше (розписати))</t>
  </si>
  <si>
    <t>39710000-2 — Електричні побутові прилади</t>
  </si>
  <si>
    <t>Електричні побутові прилади (Фармацевтичний холодильник)</t>
  </si>
  <si>
    <t>Детектори та аналізатори (Біоімпедансний аналізатор (Аналізатор складу тіла))</t>
  </si>
  <si>
    <t>Електричні лампи розжарення (бактерицидні лампи)</t>
  </si>
  <si>
    <t>Світильники та освітлювальна арматура (лампочки)</t>
  </si>
  <si>
    <t>програма туберкулін</t>
  </si>
  <si>
    <t>програма, шприци, ланцети</t>
  </si>
  <si>
    <t>програма МД-мил</t>
  </si>
  <si>
    <t>є ще капвидатки +70500</t>
  </si>
  <si>
    <t>залишок станом на 01.01.2020</t>
  </si>
  <si>
    <r>
      <t xml:space="preserve">залишок за попередній рік </t>
    </r>
    <r>
      <rPr>
        <b/>
        <sz val="11"/>
        <color indexed="8"/>
        <rFont val="Times New Roman"/>
        <family val="1"/>
      </rPr>
      <t>20 887,81</t>
    </r>
    <r>
      <rPr>
        <sz val="11"/>
        <color indexed="8"/>
        <rFont val="Times New Roman"/>
        <family val="1"/>
      </rPr>
      <t xml:space="preserve"> грн.</t>
    </r>
  </si>
  <si>
    <r>
      <t xml:space="preserve">сума по договору </t>
    </r>
    <r>
      <rPr>
        <b/>
        <sz val="11"/>
        <color indexed="8"/>
        <rFont val="Times New Roman"/>
        <family val="1"/>
      </rPr>
      <t>29 039 498,00</t>
    </r>
    <r>
      <rPr>
        <sz val="11"/>
        <color indexed="8"/>
        <rFont val="Times New Roman"/>
        <family val="1"/>
      </rPr>
      <t xml:space="preserve"> грн.</t>
    </r>
  </si>
  <si>
    <r>
      <t xml:space="preserve">сума по гранду </t>
    </r>
    <r>
      <rPr>
        <b/>
        <sz val="11"/>
        <color indexed="8"/>
        <rFont val="Times New Roman"/>
        <family val="1"/>
      </rPr>
      <t>172 494,00</t>
    </r>
    <r>
      <rPr>
        <sz val="11"/>
        <color indexed="8"/>
        <rFont val="Times New Roman"/>
        <family val="1"/>
      </rPr>
      <t xml:space="preserve"> грн.</t>
    </r>
  </si>
  <si>
    <r>
      <t xml:space="preserve">сума по програмі </t>
    </r>
    <r>
      <rPr>
        <b/>
        <sz val="11"/>
        <color indexed="8"/>
        <rFont val="Times New Roman"/>
        <family val="1"/>
      </rPr>
      <t>2 000 000,00</t>
    </r>
    <r>
      <rPr>
        <sz val="11"/>
        <color indexed="8"/>
        <rFont val="Times New Roman"/>
        <family val="1"/>
      </rPr>
      <t xml:space="preserve"> грн.</t>
    </r>
  </si>
  <si>
    <r>
      <t xml:space="preserve">сума капвидатків </t>
    </r>
    <r>
      <rPr>
        <b/>
        <sz val="11"/>
        <color indexed="8"/>
        <rFont val="Times New Roman"/>
        <family val="1"/>
      </rPr>
      <t>300 000,00</t>
    </r>
    <r>
      <rPr>
        <sz val="11"/>
        <color indexed="8"/>
        <rFont val="Times New Roman"/>
        <family val="1"/>
      </rPr>
      <t xml:space="preserve"> грн.</t>
    </r>
  </si>
  <si>
    <t>за січень</t>
  </si>
  <si>
    <t>Договір з НСЗУ</t>
  </si>
  <si>
    <t>січень НСЗУ</t>
  </si>
  <si>
    <t>Прогноз НСЗУ</t>
  </si>
  <si>
    <r>
      <t xml:space="preserve">від </t>
    </r>
    <r>
      <rPr>
        <sz val="14"/>
        <color indexed="9"/>
        <rFont val="Times New Roman"/>
        <family val="1"/>
      </rPr>
      <t>25.07.2019р.  № 3899-49/2019-49</t>
    </r>
  </si>
  <si>
    <t>Керівник      Директор КНП КМР "КМЦ ПМСД"</t>
  </si>
  <si>
    <t>Марія БУРТИК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</si>
  <si>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</si>
  <si>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</si>
  <si>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</si>
  <si>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</si>
  <si>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</si>
  <si>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</si>
  <si>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</si>
  <si>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</si>
  <si>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</si>
  <si>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</si>
  <si>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</si>
  <si>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</si>
  <si>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наркотики</t>
  </si>
  <si>
    <t>Безкоштовні</t>
  </si>
  <si>
    <t>І кв.</t>
  </si>
  <si>
    <t>ІІ кв.</t>
  </si>
  <si>
    <t>ІІІ кв.</t>
  </si>
  <si>
    <t>IV кв.</t>
  </si>
  <si>
    <t>разом рік</t>
  </si>
  <si>
    <t>Витрати на оплату праці (медперсонал)</t>
  </si>
  <si>
    <t>Відрахування (медперсонал)</t>
  </si>
  <si>
    <t>Витрати на оплату праці (адмінперсонал)</t>
  </si>
  <si>
    <t>Відрахування (адмінперсонал)</t>
  </si>
  <si>
    <t>Відрядні (медперсонал)</t>
  </si>
  <si>
    <t>Відрядні (адмінперсонал)</t>
  </si>
  <si>
    <t>Відшкодування</t>
  </si>
  <si>
    <t>є ще капвидатки +30050</t>
  </si>
  <si>
    <t>Залишок станом на 01.01.2020</t>
  </si>
  <si>
    <t>Сума по фінплану</t>
  </si>
  <si>
    <t>39560000-5</t>
  </si>
  <si>
    <t>Текстильні вироби різні</t>
  </si>
  <si>
    <t>19510000-4</t>
  </si>
  <si>
    <t>Гумові вироби</t>
  </si>
  <si>
    <t>ДК 72220000-3 - без суми</t>
  </si>
  <si>
    <t>ДК 72240000-9 - 190000</t>
  </si>
  <si>
    <t>ДК 48810000-9 - 1 грн.</t>
  </si>
  <si>
    <t xml:space="preserve">ми закидали їх ще там де ДК 48170000-0, </t>
  </si>
  <si>
    <t>Консультаційні послуги з питань систем та з технічних питань</t>
  </si>
  <si>
    <t>Послуги з аналізу та програмування систем</t>
  </si>
  <si>
    <t>72240000-9</t>
  </si>
  <si>
    <t>Інформаційні системи</t>
  </si>
  <si>
    <t>48810000-9</t>
  </si>
  <si>
    <t>Пакети програмного забезпечення для контролю відповідності</t>
  </si>
  <si>
    <t>Послуги, пов’язані з програмним забезпеченням (Виготовлення ЕЦП, програми Медок, Медстат, Кадри)</t>
  </si>
  <si>
    <t>є ще капвидатки +8000</t>
  </si>
  <si>
    <t>Виконання інвестиційних проектів в рамках реалізації заходів, спрямованих на розвиток системи охорони здоров’я у сільській місцевості</t>
  </si>
  <si>
    <t>Інші програми та заходи у сфері охорони здоров’я (Міська комплексна Програма «Здоров’я громади на 2019-2023 роки»)</t>
  </si>
  <si>
    <t>№ плану</t>
  </si>
  <si>
    <t>Сума плану</t>
  </si>
  <si>
    <t>№ закупівлі</t>
  </si>
  <si>
    <t>Сума закупівлі</t>
  </si>
  <si>
    <t>дата зміни</t>
  </si>
  <si>
    <t>кінцева сума</t>
  </si>
  <si>
    <t>зміст зміни (+/-)</t>
  </si>
  <si>
    <t>UA-P-2020-01-03-001595-b</t>
  </si>
  <si>
    <t>Залишок по плану</t>
  </si>
  <si>
    <t>UA-2020-01-03-000578-c</t>
  </si>
  <si>
    <t>Класифікатор ДК 021:2015 (CPV)</t>
  </si>
  <si>
    <t>Номер рядка плану закупівлі</t>
  </si>
  <si>
    <t>Конкретна Назва</t>
  </si>
  <si>
    <t>Номер закупівлі</t>
  </si>
  <si>
    <t>Очікувана вартість</t>
  </si>
  <si>
    <t>Орієнтовний початок</t>
  </si>
  <si>
    <t>09123000-7 Природний газ</t>
  </si>
  <si>
    <t>UA-P-2020-01-31-016161-a</t>
  </si>
  <si>
    <t>Природний газ ...</t>
  </si>
  <si>
    <t>26 708,89</t>
  </si>
  <si>
    <t>09130000-9 Нафта і дистиляти</t>
  </si>
  <si>
    <t>UA-P-2020-01-10-000876-b</t>
  </si>
  <si>
    <t>Нафта і дистиляти (Бензин марки А-92) ...</t>
  </si>
  <si>
    <t>UA-2020-01-10-000697-c</t>
  </si>
  <si>
    <t>348 216,00</t>
  </si>
  <si>
    <t>09210000-4 Мастильні засоби</t>
  </si>
  <si>
    <t>UA-P-2020-01-31-016216-a</t>
  </si>
  <si>
    <t>Мастильні засоби (Масло) ...</t>
  </si>
  <si>
    <t>11 784,00</t>
  </si>
  <si>
    <t>09310000-5 Електрична енергія</t>
  </si>
  <si>
    <t>Електрична енергія (Електрична енергія та супутні послуги) ...</t>
  </si>
  <si>
    <t>452 780,00</t>
  </si>
  <si>
    <t>14210000-6 Гравій, пісок, щебінь і наповнювачі</t>
  </si>
  <si>
    <t>UA-P-2020-01-31-016187-a</t>
  </si>
  <si>
    <t>Гравій, пісок, щебінь і наповнювачі ...</t>
  </si>
  <si>
    <t>5 000,00</t>
  </si>
  <si>
    <t>15880000-0 Спеціальні продукти харчування, збагачені поживними речовинами</t>
  </si>
  <si>
    <t>UA-P-2020-01-15-003371-b</t>
  </si>
  <si>
    <t>Спеціальні продукти харчування, збагачені поживними речовинами (Спеціальне дієти ...</t>
  </si>
  <si>
    <t>UA-2020-01-15-001695-c</t>
  </si>
  <si>
    <t>400 000,00</t>
  </si>
  <si>
    <t>18420000-9 Аксесуари для одягу</t>
  </si>
  <si>
    <t>UA-P-2020-01-31-016223-a</t>
  </si>
  <si>
    <t>Аксесуари для одягу (Одноразові рукавички) ...</t>
  </si>
  <si>
    <t>30 000,00</t>
  </si>
  <si>
    <t>19510000-4 Гумові вироби</t>
  </si>
  <si>
    <t>UA-P-2020-01-31-016217-a</t>
  </si>
  <si>
    <t>Гумові вироби ...</t>
  </si>
  <si>
    <t>1 400,00</t>
  </si>
  <si>
    <t>19520000-7 Пластмасові вироби</t>
  </si>
  <si>
    <t>UA-P-2020-01-31-016207-a</t>
  </si>
  <si>
    <t>Пластмасові вироби (Відра пластмасові, совки, пластмасові ємкості) ...</t>
  </si>
  <si>
    <t>10 000,00</t>
  </si>
  <si>
    <t>19640000-4 Поліетиленові мішки та пакети для сміття</t>
  </si>
  <si>
    <t>UA-P-2020-01-31-016201-a</t>
  </si>
  <si>
    <t>Поліетиленові мішки та пакети для сміття ...</t>
  </si>
  <si>
    <t>2 000,00</t>
  </si>
  <si>
    <t>22210000-5 Газети</t>
  </si>
  <si>
    <t>UA-P-2020-01-31-016182-a</t>
  </si>
  <si>
    <t>Газети ...</t>
  </si>
  <si>
    <t>15 000,00</t>
  </si>
  <si>
    <t>22810000-1 Паперові чи картонні реєстраційні журнали</t>
  </si>
  <si>
    <t>UA-P-2020-01-31-016150-a</t>
  </si>
  <si>
    <t>Паперові чи картонні реєстраційні журнали ...</t>
  </si>
  <si>
    <t>45 000,00</t>
  </si>
  <si>
    <t>22820000-4 Бланки</t>
  </si>
  <si>
    <t>UA-P-2020-01-31-016144-a</t>
  </si>
  <si>
    <t>Бланки ...</t>
  </si>
  <si>
    <t>22850000-3 Швидкозшивачі та супутнє приладдя</t>
  </si>
  <si>
    <t>UA-P-2020-01-31-016158-a</t>
  </si>
  <si>
    <t>Швидкозшивачі та супутнє приладдя ...</t>
  </si>
  <si>
    <t>1 500,00</t>
  </si>
  <si>
    <t>22990000-6 Газетний папір, папір ручного виготовлення та інший некрейдований папір або картон для графічних цілей</t>
  </si>
  <si>
    <t>UA-P-2020-01-31-016214-a</t>
  </si>
  <si>
    <t>Газетний папір, папір ручного виготовлення та інший некрейдований папір або карт ...</t>
  </si>
  <si>
    <t>24300000-7 Основні органічні та неорганічні хімічні речовини</t>
  </si>
  <si>
    <t>UA-P-2020-01-31-016153-a</t>
  </si>
  <si>
    <t>Основні органічні та неорганічні хімічні речовини (Ethanol (Етиловий спирт)) ...</t>
  </si>
  <si>
    <t>20 000,00</t>
  </si>
  <si>
    <t>30120000-6 Фотокопіювальне та поліграфічне обладнання для офсетного друку</t>
  </si>
  <si>
    <t>UA-P-2020-01-31-016183-a</t>
  </si>
  <si>
    <t>Фотокопіювальне та поліграфічне обладнання для офсетного друку (Принтери, картри ...</t>
  </si>
  <si>
    <t>25 000,00</t>
  </si>
  <si>
    <t>30190000-7 Офісне устаткування та приладдя різне</t>
  </si>
  <si>
    <t>UA-P-2020-01-31-016203-a</t>
  </si>
  <si>
    <t>Офісне устаткування та приладдя різне (Папір ксероксний, офісне приладдя, дрібне ...</t>
  </si>
  <si>
    <t>30230000-0 Комп’ютерне обладнання</t>
  </si>
  <si>
    <t>UA-P-2020-01-31-016220-a</t>
  </si>
  <si>
    <t>Комп’ютерне обладнання та приладдя ...</t>
  </si>
  <si>
    <t>35 000,00</t>
  </si>
  <si>
    <t>31210000-1 Електрична апаратура для комутування та захисту електричних кіл</t>
  </si>
  <si>
    <t>UA-P-2020-01-31-016224-a</t>
  </si>
  <si>
    <t>Електрична апаратура для комутування та захисту електричних кіл ...</t>
  </si>
  <si>
    <t>13 000,00</t>
  </si>
  <si>
    <t>31310000-2 Мережеві кабелі</t>
  </si>
  <si>
    <t>UA-P-2020-01-31-016213-a</t>
  </si>
  <si>
    <t>Мережеві кабелі ...</t>
  </si>
  <si>
    <t>3 000,00</t>
  </si>
  <si>
    <t>31510000-4 Електричні лампи розжарення</t>
  </si>
  <si>
    <t>UA-P-2020-01-31-016221-a</t>
  </si>
  <si>
    <t>Електричні лампи розжарення (бактерицидні лампи) ...</t>
  </si>
  <si>
    <t>31520000-7 Світильники та освітлювальна арматура</t>
  </si>
  <si>
    <t>UA-P-2020-01-31-016197-a</t>
  </si>
  <si>
    <t>Світильники та освітлювальна арматура (лампочки) ...</t>
  </si>
  <si>
    <t>7 000,00</t>
  </si>
  <si>
    <t>33120000-7 Системи реєстрації медичної інформації та дослідне обладнання</t>
  </si>
  <si>
    <t>UA-P-2020-01-31-016162-a</t>
  </si>
  <si>
    <t>Системи реєстрації медичної інформації та дослідне обладнання (індикаторні смужк ...</t>
  </si>
  <si>
    <t>128 000,00</t>
  </si>
  <si>
    <t>33140000-3 Медичні матеріали</t>
  </si>
  <si>
    <t>UA-P-2020-01-31-016177-a</t>
  </si>
  <si>
    <t>Медичні матеріали (Шприци, перев'язувальний матеріал, стерильні рукавички, конте ...</t>
  </si>
  <si>
    <t>90 000,00</t>
  </si>
  <si>
    <t>UA-P-2020-01-31-016147-a</t>
  </si>
  <si>
    <t>Медичні матеріали (Шприци, ланцети для дітей, хворих на ЦД І типу) ...</t>
  </si>
  <si>
    <t>100 000,00</t>
  </si>
  <si>
    <t>33190000-8 Медичне обладнання та вироби медичного призначення різні</t>
  </si>
  <si>
    <t>UA-P-2020-01-31-016222-a</t>
  </si>
  <si>
    <t>Медичне обладнання та вироби медичного призначення різні (меблі медичні, пробірк ...</t>
  </si>
  <si>
    <t>33600000-6 Фармацевтична продукція</t>
  </si>
  <si>
    <t>UA-P-2020-01-31-016174-a</t>
  </si>
  <si>
    <t>Фармацевтична продукція, Антисептичні та дезінфекційні засоби ...</t>
  </si>
  <si>
    <t>UA-P-2020-01-31-016154-a</t>
  </si>
  <si>
    <t>Фармацевтична продукція (Туберкулін) ...</t>
  </si>
  <si>
    <t>33760000-5 Туалетний папір, носові хустинки, рушники для рук і серветки</t>
  </si>
  <si>
    <t>UA-P-2020-01-31-016178-a</t>
  </si>
  <si>
    <t>Туалетний папір, носові хустинки, рушники для рук і серветки ...</t>
  </si>
  <si>
    <t>3 500,00</t>
  </si>
  <si>
    <t>34310000-3 Двигуни та їх частини</t>
  </si>
  <si>
    <t>UA-P-2020-01-31-016200-a</t>
  </si>
  <si>
    <t>Двигуни та їх частини ...</t>
  </si>
  <si>
    <t>2 500,00</t>
  </si>
  <si>
    <t>34320000-6 Механічні запасні частини, крім двигунів і частин двигунів</t>
  </si>
  <si>
    <t>UA-P-2020-01-31-016184-a</t>
  </si>
  <si>
    <t>Механічні запасні частини, крім двигунів і частин двигунів ...</t>
  </si>
  <si>
    <t>34330000-9 Запасні частини до вантажних транспортних засобів, фургонів та легкових автомобілів</t>
  </si>
  <si>
    <t>UA-P-2020-01-31-016166-a</t>
  </si>
  <si>
    <t>Запасні частини до вантажних транспортних засобів, фургонів та легкових автомобі ...</t>
  </si>
  <si>
    <t>34350000-5 Шини для транспортних засобів великої та малої тоннажності</t>
  </si>
  <si>
    <t>UA-P-2020-01-31-016188-a</t>
  </si>
  <si>
    <t>Шини для транспортних засобів великої та малої тоннажності ...</t>
  </si>
  <si>
    <t>12 000,00</t>
  </si>
  <si>
    <t>38410000-2 Лічильні прилади</t>
  </si>
  <si>
    <t>UA-P-2020-01-31-016202-a</t>
  </si>
  <si>
    <t>Лічильні прилади ...</t>
  </si>
  <si>
    <t>39110000-6 Сидіння, стільці та супутні вироби і частини до них</t>
  </si>
  <si>
    <t>UA-P-2020-01-31-016193-a</t>
  </si>
  <si>
    <t>Сидіння, стільці та супутні вироби і частини до них ...</t>
  </si>
  <si>
    <t>39120000-9 Столи, серванти, письмові столи та книжкові шафи</t>
  </si>
  <si>
    <t>UA-P-2020-01-31-016210-a</t>
  </si>
  <si>
    <t>Столи, серванти, письмові столи та книжкові шафи ...</t>
  </si>
  <si>
    <t>39130000-2 Офісні меблі</t>
  </si>
  <si>
    <t>UA-P-2020-01-31-016215-a</t>
  </si>
  <si>
    <t>Офісні меблі ...</t>
  </si>
  <si>
    <t>39220000-0 Кухонне приладдя, товари для дому та господарства і приладдя для закладів громадського харчування</t>
  </si>
  <si>
    <t>UA-P-2020-01-31-016169-a</t>
  </si>
  <si>
    <t>Кухонне приладдя, товари для дому та господарства і приладдя для закладів громад ...</t>
  </si>
  <si>
    <t>39510000-0 Вироби домашнього текстилю</t>
  </si>
  <si>
    <t>UA-P-2020-01-31-016143-a</t>
  </si>
  <si>
    <t>Вироби домашнього текстилю (Ковдри, подушки, лікарняна білизна, жалюзі) ...</t>
  </si>
  <si>
    <t>39530000-6 Килимові покриття, килимки та килими</t>
  </si>
  <si>
    <t>UA-P-2020-01-31-016172-a</t>
  </si>
  <si>
    <t>Килимки ...</t>
  </si>
  <si>
    <t>1 000,00</t>
  </si>
  <si>
    <t>39560000-5 Текстильні вироби різні</t>
  </si>
  <si>
    <t>UA-P-2020-01-31-016185-a</t>
  </si>
  <si>
    <t>Текстильні вироби різні ...</t>
  </si>
  <si>
    <t>2 600,00</t>
  </si>
  <si>
    <t>39710000-2 Електричні побутові прилади</t>
  </si>
  <si>
    <t>UA-P-2020-01-31-016196-a</t>
  </si>
  <si>
    <t>Електричні побутові прилади ...</t>
  </si>
  <si>
    <t>19 000,00</t>
  </si>
  <si>
    <t>39810000-3 Ароматизатори та воски</t>
  </si>
  <si>
    <t>UA-P-2020-01-31-016190-a</t>
  </si>
  <si>
    <t>Ароматизатори та воски ...</t>
  </si>
  <si>
    <t>39830000-9 Продукція для чищення</t>
  </si>
  <si>
    <t>UA-P-2020-01-31-016165-a</t>
  </si>
  <si>
    <t>Продукція для чищення ...</t>
  </si>
  <si>
    <t>41110000-3 Питна вода</t>
  </si>
  <si>
    <t>UA-P-2020-01-31-016173-a</t>
  </si>
  <si>
    <t>Питна вода ...</t>
  </si>
  <si>
    <t>13 566,00</t>
  </si>
  <si>
    <t>44110000-4 Конструкційні матеріали</t>
  </si>
  <si>
    <t>UA-P-2020-01-31-016168-a</t>
  </si>
  <si>
    <t>Конструкційні матеріали (Цемент, труби та арматура, цвяхи) ...</t>
  </si>
  <si>
    <t>44220000-8 Столярні вироби</t>
  </si>
  <si>
    <t>UA-P-2020-01-31-016186-a</t>
  </si>
  <si>
    <t>Столярні вироби (Вікна, двері) ...</t>
  </si>
  <si>
    <t>44410000-7 Вироби для ванної кімнати та кухні</t>
  </si>
  <si>
    <t>UA-P-2020-01-31-016160-a</t>
  </si>
  <si>
    <t>Вироби для ванної кімнати та кухні ...</t>
  </si>
  <si>
    <t>6 000,00</t>
  </si>
  <si>
    <t>44420000-0 Будівельні товари</t>
  </si>
  <si>
    <t>UA-P-2020-01-31-016208-a</t>
  </si>
  <si>
    <t>Будівельні товари ...</t>
  </si>
  <si>
    <t>44520000-1 Замки, ключі та петлі</t>
  </si>
  <si>
    <t>UA-P-2020-01-31-016176-a</t>
  </si>
  <si>
    <t>Замки, ключі та петлі ...</t>
  </si>
  <si>
    <t>8 500,00</t>
  </si>
  <si>
    <t>44810000-1 Фарби</t>
  </si>
  <si>
    <t>UA-P-2020-01-31-016204-a</t>
  </si>
  <si>
    <t>Фарби ...</t>
  </si>
  <si>
    <t>44830000-7 Мастики, шпаклівки, замазки та розчинники</t>
  </si>
  <si>
    <t>UA-P-2020-01-31-016157-a</t>
  </si>
  <si>
    <t>Мастики, шпаклівки, замазки та розчинники ...</t>
  </si>
  <si>
    <t>44920000-5 Вапняк, гіпс і крейда</t>
  </si>
  <si>
    <t>UA-P-2020-01-31-016191-a</t>
  </si>
  <si>
    <t>Вапняк, гіпс і крейда (Вапно) ...</t>
  </si>
  <si>
    <t>45232421-9 Очищення стічних вод</t>
  </si>
  <si>
    <t>UA-P-2020-01-31-016198-a</t>
  </si>
  <si>
    <t>Очищення стічних вод ...</t>
  </si>
  <si>
    <t>8 262,00</t>
  </si>
  <si>
    <t>45310000-3 Електромонтажні роботи</t>
  </si>
  <si>
    <t>UA-P-2020-01-31-016189-a</t>
  </si>
  <si>
    <t>Електромонтажні роботи ...</t>
  </si>
  <si>
    <t>45430000-0 Покривання підлоги та стін</t>
  </si>
  <si>
    <t>UA-P-2020-01-31-016167-a</t>
  </si>
  <si>
    <t>Покривання підлоги та стін (Леонтовича 150,0) ...</t>
  </si>
  <si>
    <t>150 000,00</t>
  </si>
  <si>
    <t>48810000-9 Інформаційні системи</t>
  </si>
  <si>
    <t>UA-P-2020-01-31-016181-a</t>
  </si>
  <si>
    <t>Інформаційні системи ...</t>
  </si>
  <si>
    <t>175 000,00</t>
  </si>
  <si>
    <t>50112000-3 Послуги з ремонту і технічного обслуговування автомобілів</t>
  </si>
  <si>
    <t>UA-P-2020-01-31-016149-a</t>
  </si>
  <si>
    <t>Послуги з ремонту і технічного обслуговування автомобілів ...</t>
  </si>
  <si>
    <t>50310000-1 Технічне обслуговування і ремонт офісної техніки</t>
  </si>
  <si>
    <t>UA-P-2020-01-31-016156-a</t>
  </si>
  <si>
    <t>Технічне обслуговування і ремонт офісної техніки ...</t>
  </si>
  <si>
    <t>50410000-2 Послуги з ремонту і технічного обслуговування вимірювальних, випробувальних і контрольних приладів</t>
  </si>
  <si>
    <t>UA-P-2020-01-31-016152-a</t>
  </si>
  <si>
    <t>Послуги з ремонту і технічного обслуговування вимірювальних, випробувальних і ко ...</t>
  </si>
  <si>
    <t>50421000-2 Послуги з ремонту і технічного обслуговування медичного обладнання</t>
  </si>
  <si>
    <t>UA-P-2020-01-31-016170-a</t>
  </si>
  <si>
    <t>Послуги з ремонту і технічного обслуговування медичного обладнання ...</t>
  </si>
  <si>
    <t>64210000-1 Послуги телефонного зв’язку та передачі даних</t>
  </si>
  <si>
    <t>UA-P-2020-01-31-016192-a</t>
  </si>
  <si>
    <t>Послуги телефонного зв’язку та передачі даних (послуги за телефон та інтернет) ...</t>
  </si>
  <si>
    <t>74 992,00</t>
  </si>
  <si>
    <t>UA-P-2020-01-24-009320-a</t>
  </si>
  <si>
    <t>Послуги телефонного зв’язку та передачі даних (послуги рухомого (мобільного) тел ...</t>
  </si>
  <si>
    <t>UA-2020-01-24-002953-a</t>
  </si>
  <si>
    <t>1 200,00</t>
  </si>
  <si>
    <t>UA-P-2020-01-24-009318-a</t>
  </si>
  <si>
    <t>UA-2020-01-24-002515-a</t>
  </si>
  <si>
    <t>UA-P-2020-01-24-008545-a</t>
  </si>
  <si>
    <t>UA-2020-01-24-002226-a</t>
  </si>
  <si>
    <t>50 000,00</t>
  </si>
  <si>
    <t>65210000-8 Розподіл газу</t>
  </si>
  <si>
    <t>UA-P-2020-01-31-016205-a</t>
  </si>
  <si>
    <t>Розподіл газу ...</t>
  </si>
  <si>
    <t>2 791,11</t>
  </si>
  <si>
    <t>66510000-8 Страхові послуги</t>
  </si>
  <si>
    <t>UA-P-2020-01-31-016145-a</t>
  </si>
  <si>
    <t>Страхові послуги (Послуги зі страхування життя та автомобілів) ...</t>
  </si>
  <si>
    <t>5 500,00</t>
  </si>
  <si>
    <t>72220000-3 Консультаційні послуги з питань систем та з технічних питань</t>
  </si>
  <si>
    <t>UA-P-2020-01-31-016180-a</t>
  </si>
  <si>
    <t>Консультаційні послуги з питань систем та з технічних питань ...</t>
  </si>
  <si>
    <t>180 000,00</t>
  </si>
  <si>
    <t>72240000-9 Послуги з аналізу та програмування систем</t>
  </si>
  <si>
    <t>UA-P-2020-01-31-016164-a</t>
  </si>
  <si>
    <t>Послуги з аналізу та програмування систем ...</t>
  </si>
  <si>
    <t>167 000,00</t>
  </si>
  <si>
    <t>72260000-5 Послуги, пов’язані з програмним забезпеченням</t>
  </si>
  <si>
    <t>UA-P-2020-01-31-016211-a</t>
  </si>
  <si>
    <t>Послуги, пов’язані з програмним забезпеченням (Виготовлення ЕЦП, програми Медок, ...</t>
  </si>
  <si>
    <t>79710000-4 Охоронні послуги</t>
  </si>
  <si>
    <t>UA-P-2020-01-31-016195-a</t>
  </si>
  <si>
    <t>Охоронні послуги (Послуги з моніторингу сигналів тривоги, що надходять з пристро ...</t>
  </si>
  <si>
    <t>38 628,00</t>
  </si>
  <si>
    <t>80510000-2 Послуги з професійної підготовки спеціалістів</t>
  </si>
  <si>
    <t>UA-P-2020-01-31-016219-a</t>
  </si>
  <si>
    <t>Послуги з професійної підготовки спеціалістів (послуги з навчання персоналу) ...</t>
  </si>
  <si>
    <t>90470000-2 Послуги з чищення каналізаційних колекторів</t>
  </si>
  <si>
    <t>UA-P-2020-01-31-016212-a</t>
  </si>
  <si>
    <t>Послуги з чищення каналізаційних колекторів ...</t>
  </si>
  <si>
    <t>90510000-5 Утилізація/видалення сміття та поводження зі сміттям</t>
  </si>
  <si>
    <t>UA-P-2020-01-31-016146-a</t>
  </si>
  <si>
    <t>Утилізація сміття та поводження зі сміттям (Вивіз сміття) ...</t>
  </si>
  <si>
    <t>17 630,00</t>
  </si>
  <si>
    <t>UA-P-2020-01-24-006140-a</t>
  </si>
  <si>
    <t>UA-2020-01-24-001585-a</t>
  </si>
  <si>
    <t>UA-2020-04-27-000161-a</t>
  </si>
  <si>
    <t>№ плану до основного</t>
  </si>
  <si>
    <t>UA-P-2020-04-27-000324-b</t>
  </si>
  <si>
    <t>завершена закупівля</t>
  </si>
  <si>
    <t>UA-P-2020-04-29-000400-a</t>
  </si>
  <si>
    <t>UA-2020-04-29-000572-a</t>
  </si>
  <si>
    <t>UA-2020-05-22-002858-b</t>
  </si>
  <si>
    <t>UA-P-2020-05-22-006018-c</t>
  </si>
  <si>
    <t>закрити основний план</t>
  </si>
  <si>
    <t>UA-2020-06-01-003669-b</t>
  </si>
  <si>
    <t>UA-P-2020-06-01-001464-c</t>
  </si>
  <si>
    <t>UA-P-2020-06-19-002518-b</t>
  </si>
  <si>
    <t>UA-2020-06-19-003430-b</t>
  </si>
  <si>
    <t>UA-P-2020-06-03-003777-c</t>
  </si>
  <si>
    <t>UA-2020-06-03-004798-c</t>
  </si>
  <si>
    <t>UA-P-2020-06-11-000621-c</t>
  </si>
  <si>
    <t>UA-2020-06-11-000768-c</t>
  </si>
  <si>
    <t>UA-P-2020-06-03-003773-c</t>
  </si>
  <si>
    <t>UA-2020-06-03-004770-c</t>
  </si>
  <si>
    <t>13.03; 26.03; 28.04</t>
  </si>
  <si>
    <t>UA-P-2020-03-26-002940-c</t>
  </si>
  <si>
    <t>UA-2020-03-27-000362-a</t>
  </si>
  <si>
    <t>UA-P-2020-04-13-009495-b</t>
  </si>
  <si>
    <t>UA-2020-04-15-004742-a</t>
  </si>
  <si>
    <t>UA-P-2020-06-01-001462-c</t>
  </si>
  <si>
    <t>UA-2020-06-01-002967-b</t>
  </si>
  <si>
    <t>UA-P-2020-06-01-001463-c</t>
  </si>
  <si>
    <t>UA-2020-06-01-003354-b</t>
  </si>
  <si>
    <t>UA-P-2020-04-24-002275-b</t>
  </si>
  <si>
    <t>UA-2020-04-24-000865-a</t>
  </si>
  <si>
    <t>UA-P-2020-04-27-000325-b</t>
  </si>
  <si>
    <t>UA-2020-04-27-000163-a</t>
  </si>
  <si>
    <t>UA-2020-04-29-001946-a</t>
  </si>
  <si>
    <t>UA-P-2020-04-29-001135-a</t>
  </si>
  <si>
    <t>UA-P-2020-03-26-002939-c</t>
  </si>
  <si>
    <t>UA-2020-03-27-000367-a</t>
  </si>
  <si>
    <t>COVID-19</t>
  </si>
  <si>
    <t>UA-P-2020-03-26-002942-c</t>
  </si>
  <si>
    <t>UA-2020-03-27-000365-a</t>
  </si>
  <si>
    <t>UA-P-2020-06-04-005130-c</t>
  </si>
  <si>
    <t>UA-2020-06-04-005661-c</t>
  </si>
  <si>
    <t>UA-P-2020-06-15-003681-a</t>
  </si>
  <si>
    <t>UA-2020-06-15-003814-b</t>
  </si>
  <si>
    <t>UA-P-2020-02-14-003322-b</t>
  </si>
  <si>
    <t>UA-2020-02-14-001553-b</t>
  </si>
  <si>
    <t>UA-P-2020-02-17-001412-a</t>
  </si>
  <si>
    <t>UA-2020-02-17-000224-b</t>
  </si>
  <si>
    <t>UA-P-2020-03-10-001577-b</t>
  </si>
  <si>
    <t>UA-2020-03-10-001647-b</t>
  </si>
  <si>
    <t>UA-P-2020-03-16-002459-c</t>
  </si>
  <si>
    <t>UA-2020-03-16-001001-a</t>
  </si>
  <si>
    <t>UA-P-2020-04-13-009494-b</t>
  </si>
  <si>
    <t>UA-2020-04-15-004740-a</t>
  </si>
  <si>
    <t>UA-P-2020-05-22-006019-c</t>
  </si>
  <si>
    <t>UA-2020-05-22-002992-b</t>
  </si>
  <si>
    <t>UA-P-2020-05-22-007112-c</t>
  </si>
  <si>
    <t>UA-2020-05-23-000071-b</t>
  </si>
  <si>
    <t>спрощена закупівля</t>
  </si>
  <si>
    <t>UA-P-2020-06-15-003684-a</t>
  </si>
  <si>
    <t>UA-2020-06-15-004227-b</t>
  </si>
  <si>
    <t>UA-P-2020-03-10-001576-b</t>
  </si>
  <si>
    <t>UA-2020-03-10-001630-b</t>
  </si>
  <si>
    <t>UA-P-2020-03-12-005573-c</t>
  </si>
  <si>
    <t>UA-2020-03-12-002844-a</t>
  </si>
  <si>
    <t>UA-P-2020-03-13-003686-a</t>
  </si>
  <si>
    <t>UA-2020-03-13-001654-a</t>
  </si>
  <si>
    <t>UA-P-2020-03-19-004512-a</t>
  </si>
  <si>
    <t>UA-2020-03-19-002348-a</t>
  </si>
  <si>
    <t>UA-P-2020-03-19-004513-a</t>
  </si>
  <si>
    <t>UA-2020-03-19-002349-a</t>
  </si>
  <si>
    <t>UA-P-2020-04-13-009493-b</t>
  </si>
  <si>
    <t>UA-2020-04-15-004739-a</t>
  </si>
  <si>
    <t>UA-P-2020-05-07-004665-b</t>
  </si>
  <si>
    <t>UA-2020-05-08-000287-a</t>
  </si>
  <si>
    <t>UA-P-2020-05-26-005747-b</t>
  </si>
  <si>
    <t>UA-2020-05-26-006166-b</t>
  </si>
  <si>
    <t>UA-P-2020-06-01-001850-c</t>
  </si>
  <si>
    <t>UA-2020-06-01-004037-b</t>
  </si>
  <si>
    <t>UA-P-2020-06-15-003683-a</t>
  </si>
  <si>
    <t>UA-2020-06-15-004134-b</t>
  </si>
  <si>
    <t>UA-P-2020-06-15-003685-a</t>
  </si>
  <si>
    <t>UA-2020-06-15-004234-b</t>
  </si>
  <si>
    <t>UA-P-2020-06-19-002519-b</t>
  </si>
  <si>
    <t>UA-2020-06-19-003341-b</t>
  </si>
  <si>
    <t>23.03; 28.04; 22.05; 15.06; 19.06</t>
  </si>
  <si>
    <t>UA-P-2020-03-23-001082-c</t>
  </si>
  <si>
    <t>UA-2020-03-23-000920-b</t>
  </si>
  <si>
    <t>UA-P-2020-03-26-002944-c</t>
  </si>
  <si>
    <t>UA-2020-03-27-000366-a</t>
  </si>
  <si>
    <t>UA-P-2020-04-02-006051-b</t>
  </si>
  <si>
    <t>UA-2020-04-02-002276-a</t>
  </si>
  <si>
    <t>UA-P-2020-04-09-001988-a</t>
  </si>
  <si>
    <t>UA-2020-04-09-001483-a</t>
  </si>
  <si>
    <t>UA-P-2020-04-13-009492-b</t>
  </si>
  <si>
    <t>UA-2020-04-15-004738-a</t>
  </si>
  <si>
    <t>UA-P-2020-04-28-001513-a</t>
  </si>
  <si>
    <t>UA-2020-04-29-000340-a</t>
  </si>
  <si>
    <t>UA-P-2020-05-22-006020-c</t>
  </si>
  <si>
    <t>UA-P-2020-05-27-005844-b</t>
  </si>
  <si>
    <t>UA-2020-05-22-002940-b</t>
  </si>
  <si>
    <t>UA-2020-05-27-006177-b</t>
  </si>
  <si>
    <t>UA-P-2020-06-15-003677-a</t>
  </si>
  <si>
    <t>UA-2020-06-15-004056-b</t>
  </si>
  <si>
    <t>UA-P-2020-06-15-003680-a</t>
  </si>
  <si>
    <t>UA-2020-06-15-003938-b</t>
  </si>
  <si>
    <t>UA-P-2020-06-19-002516-b</t>
  </si>
  <si>
    <t>UA-2020-06-19-003398-b</t>
  </si>
  <si>
    <t>UA-P-2020-06-19-002517-b</t>
  </si>
  <si>
    <t>UA-2020-06-19-003315-b</t>
  </si>
  <si>
    <t>UA-P-2020-02-14-003320-b</t>
  </si>
  <si>
    <t>UA-2020-02-14-001554-b</t>
  </si>
  <si>
    <t>UA-P-2020-03-10-001574-b</t>
  </si>
  <si>
    <t>UA-2020-03-10-001628-b</t>
  </si>
  <si>
    <t>UA-P-2020-03-10-001575-b</t>
  </si>
  <si>
    <t>UA-2020-03-10-001629-b</t>
  </si>
  <si>
    <t>UA-P-2020-03-12-005574-c</t>
  </si>
  <si>
    <t>UA-2020-03-12-002845-a</t>
  </si>
  <si>
    <t>UA-P-2020-03-19-004511-a</t>
  </si>
  <si>
    <t>UA-2020-03-19-002347-a</t>
  </si>
  <si>
    <t>UA-P-2020-03-26-002941-c</t>
  </si>
  <si>
    <t>UA-2020-03-27-000359-a</t>
  </si>
  <si>
    <t>UA-P-2020-03-26-002943-c</t>
  </si>
  <si>
    <t>UA-2020-03-27-000363-a</t>
  </si>
  <si>
    <t>UA-P-2020-04-02-006054-b</t>
  </si>
  <si>
    <t>UA-2020-04-02-002275-a</t>
  </si>
  <si>
    <t>UA-P-2020-04-13-009496-b</t>
  </si>
  <si>
    <t>UA-2020-04-15-004743-a</t>
  </si>
  <si>
    <t>UA-P-2020-05-15-000827-b</t>
  </si>
  <si>
    <t>UA-2020-05-15-000443-c</t>
  </si>
  <si>
    <t>UA-P-2020-05-27-005845-b</t>
  </si>
  <si>
    <t>UA-2020-05-27-006162-b</t>
  </si>
  <si>
    <t>UA-P-2020-06-15-003678-a</t>
  </si>
  <si>
    <t>UA-2020-06-15-003493-b</t>
  </si>
  <si>
    <t>Фармацевтична продукція (туберкулін)</t>
  </si>
  <si>
    <t>13.03; 23.03; 26.03; 22.05</t>
  </si>
  <si>
    <t>UA-P-2020-05-26-005748-b</t>
  </si>
  <si>
    <t>UA-2020-05-26-006163-b</t>
  </si>
  <si>
    <t>UA-P-2020-06-22-001730-b</t>
  </si>
  <si>
    <t>UA-2020-06-22-002954-b</t>
  </si>
  <si>
    <t>UA-P-2020-05-18-001802-a</t>
  </si>
  <si>
    <t>UA-2020-05-18-002128-a</t>
  </si>
  <si>
    <t>UA-P-2020-06-11-000622-c</t>
  </si>
  <si>
    <t>UA-2020-06-11-000769-c</t>
  </si>
  <si>
    <t>UA-P-2020-06-11-001170-c</t>
  </si>
  <si>
    <t>UA-2020-06-11-001481-c</t>
  </si>
  <si>
    <t>UA-P-2020-06-01-002082-c</t>
  </si>
  <si>
    <t>UA-2020-06-01-004243-b</t>
  </si>
  <si>
    <t>UA-P-2020-06-12-001051-b</t>
  </si>
  <si>
    <t>UA-2020-06-12-002575-c</t>
  </si>
  <si>
    <t>28.04; 24.06</t>
  </si>
  <si>
    <t>17.02; 27.04</t>
  </si>
  <si>
    <t>50000</t>
  </si>
  <si>
    <t>953106</t>
  </si>
  <si>
    <t>Буртик Марія Володимирівна</t>
  </si>
  <si>
    <t>від 23.07.2020 р.№4827-65/2020</t>
  </si>
  <si>
    <t>ЗВІТ</t>
  </si>
  <si>
    <r>
      <t xml:space="preserve">ПРО ВИКОНАННЯ ФІНАНСОВОГО ПЛАНУ ЗА </t>
    </r>
    <r>
      <rPr>
        <b/>
        <u val="single"/>
        <sz val="14"/>
        <rFont val="Times New Roman"/>
        <family val="1"/>
      </rPr>
      <t xml:space="preserve">2020 </t>
    </r>
    <r>
      <rPr>
        <b/>
        <sz val="14"/>
        <rFont val="Times New Roman"/>
        <family val="1"/>
      </rPr>
      <t>рік</t>
    </r>
  </si>
  <si>
    <t>від 18.10.2018 р. № 3060-38/2018</t>
  </si>
  <si>
    <t>Богдан СТАНІСЛАВСЬКИЙ</t>
  </si>
  <si>
    <t>ПРО ВИКОНАННЯ ФІНАНСОВОГО ПЛАНУ</t>
  </si>
  <si>
    <t>за ІV квартал 2018 року</t>
  </si>
  <si>
    <t>Факт наростаючим підсумком з початку року</t>
  </si>
  <si>
    <t>Звітний період (рік, квартал)</t>
  </si>
  <si>
    <t>Пояснення та обґрунтування до запланованого рівня доходів/витрат</t>
  </si>
  <si>
    <t>минулий рік</t>
  </si>
  <si>
    <t>поточний рік</t>
  </si>
  <si>
    <t xml:space="preserve">план </t>
  </si>
  <si>
    <t>факт</t>
  </si>
  <si>
    <t>відхилення,  +/–</t>
  </si>
  <si>
    <t>виконання, %</t>
  </si>
  <si>
    <t>наші дві цифри по договору</t>
  </si>
  <si>
    <t>Дохід з місцевого бюджету цільового фінансування на оплату комунальних послуг та енергоносіїв, товарів, робіт та послуг</t>
  </si>
  <si>
    <t>енергоносії</t>
  </si>
  <si>
    <t>Інші програми та заходи у сфері охорони здоров’я (Відшкодування вартості лікарських засобів згідно Урядової програми "Доступні ліки")</t>
  </si>
  <si>
    <t>УП ДЛ</t>
  </si>
  <si>
    <t>Витрати по виконанню Урядової програми "Доступні ліки" на відшкодування вартості лікарських засобів</t>
  </si>
  <si>
    <t>????? Поточний ремонт</t>
  </si>
  <si>
    <t>РЕМ + газ</t>
  </si>
  <si>
    <t>страхування авто</t>
  </si>
  <si>
    <t>Уточнити заборгованість на 01.07.18</t>
  </si>
  <si>
    <t>????</t>
  </si>
  <si>
    <t>???</t>
  </si>
  <si>
    <t>надходження в натуральній формі</t>
  </si>
  <si>
    <t>доходи з місцевого бюджету цільового фінансування по капітальних видатках</t>
  </si>
  <si>
    <t>Інші надходження (Резервний фонд (пів місячного фонду оплати праці працівників))</t>
  </si>
  <si>
    <t>Головний лікар КНП КМР "КМЦ ПМСД"</t>
  </si>
  <si>
    <t>В. Б. Мельничук</t>
  </si>
  <si>
    <t>Інші надходження (оренда, інше (благодійна допомога))</t>
  </si>
  <si>
    <t>від _________________ р. № _____________</t>
  </si>
  <si>
    <r>
      <t xml:space="preserve">Орган державного управління  </t>
    </r>
    <r>
      <rPr>
        <b/>
        <i/>
        <sz val="14"/>
        <color indexed="8"/>
        <rFont val="Times New Roman"/>
        <family val="1"/>
      </rPr>
      <t xml:space="preserve"> </t>
    </r>
  </si>
  <si>
    <t>за 2019 рік</t>
  </si>
  <si>
    <t>Дохід  (виручка) від фінансової діяльності та інші доходи (кредити, позики, гранти, депозити, оренда приміщень і т.д.)</t>
  </si>
  <si>
    <t>Відшкодування вартості лікарських засобів для лікування окремих захворювань</t>
  </si>
  <si>
    <t>кредити / позики / доходи з продажу майна</t>
  </si>
  <si>
    <t>гранти</t>
  </si>
  <si>
    <t>Інші надходження (оренда, доходи з продажу майна)</t>
  </si>
  <si>
    <r>
      <t xml:space="preserve">Керівник      </t>
    </r>
    <r>
      <rPr>
        <u val="single"/>
        <sz val="14"/>
        <color indexed="8"/>
        <rFont val="Times New Roman"/>
        <family val="1"/>
      </rPr>
      <t>В. о. головного лікаря</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</si>
</sst>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 #,##0.00_₴_-;\-* #,##0.00_₴_-;_-* &quot;-&quot;??_₴_-;_-@_-"/>
    <numFmt numFmtId="171" formatCode="_-* #,##0.00_р_._-;\-* #,##0.00_р_._-;_-* &quot;-&quot;??_р_._-;_-@_-"/>
    <numFmt numFmtId="172" formatCode="_(* #,##0_);_(* \(#,##0\);_(* &quot;-&quot;_);_(@_)"/>
    <numFmt numFmtId="173" formatCode="_(* #,##0.0_);_(* \(#,##0.0\);_(* &quot;-&quot;_);_(@_)"/>
    <numFmt numFmtId="174" formatCode="#,##0.0"/>
    <numFmt numFmtId="175" formatCode="_-* #,##0.0_₴_-;\-* #,##0.0_₴_-;_-* &quot;-&quot;?_₴_-;_-@_-"/>
    <numFmt numFmtId="176" formatCode="_-* #,##0.00000\ _₽_-;\-* #,##0.00000\ _₽_-;_-* &quot;-&quot;??\ _₽_-;_-@_-"/>
    <numFmt numFmtId="177" formatCode="_-* #,##0.000000\ _₽_-;\-* #,##0.000000\ _₽_-;_-* &quot;-&quot;??\ _₽_-;_-@_-"/>
    <numFmt numFmtId="178" formatCode="_-* #,##0.0000000\ _₽_-;\-* #,##0.0000000\ _₽_-;_-* &quot;-&quot;??\ _₽_-;_-@_-"/>
    <numFmt numFmtId="179" formatCode="_-* #,##0.0000000\ _₴_-;\-* #,##0.0000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 _₴_-;\-* #,##0.0\ _₴_-;_-* &quot;-&quot;?\ _₴_-;_-@_-"/>
    <numFmt numFmtId="185" formatCode="[$-422]d\ mmmm\ yyyy&quot; р.&quot;"/>
    <numFmt numFmtId="186" formatCode="_(* #,##0.00_);_(* \(#,##0.00\);_(* &quot;-&quot;_);_(@_)"/>
  </numFmts>
  <fonts count="109">
    <font>
      <sz val="11"/>
      <color theme="1"/>
      <name val="Calibri"/>
      <family val="2"/>
    </font>
    <font>
      <sz val="11"/>
      <color indexed="8"/>
      <name val="Calibri"/>
      <family val="2"/>
    </font>
    <font>
      <b/>
      <sz val="8"/>
      <name val="Times New Roman"/>
      <family val="1"/>
    </font>
    <font>
      <sz val="12"/>
      <name val="Times New Roman"/>
      <family val="1"/>
    </font>
    <font>
      <b/>
      <sz val="14"/>
      <name val="Times New Roman"/>
      <family val="1"/>
    </font>
    <font>
      <b/>
      <sz val="10"/>
      <name val="Times New Roman"/>
      <family val="1"/>
    </font>
    <font>
      <b/>
      <sz val="12"/>
      <name val="Times New Roman"/>
      <family val="1"/>
    </font>
    <font>
      <sz val="10"/>
      <name val="Times New Roman"/>
      <family val="1"/>
    </font>
    <font>
      <sz val="10"/>
      <name val="Arial Cyr"/>
      <family val="0"/>
    </font>
    <font>
      <sz val="8"/>
      <name val="Times New Roman"/>
      <family val="1"/>
    </font>
    <font>
      <sz val="14"/>
      <name val="Times New Roman"/>
      <family val="1"/>
    </font>
    <font>
      <b/>
      <i/>
      <sz val="14"/>
      <name val="Times New Roman"/>
      <family val="1"/>
    </font>
    <font>
      <b/>
      <u val="single"/>
      <sz val="14"/>
      <name val="Times New Roman"/>
      <family val="1"/>
    </font>
    <font>
      <i/>
      <sz val="14"/>
      <name val="Times New Roman"/>
      <family val="1"/>
    </font>
    <font>
      <b/>
      <u val="single"/>
      <sz val="13"/>
      <name val="Times New Roman"/>
      <family val="1"/>
    </font>
    <font>
      <b/>
      <sz val="13"/>
      <name val="Times New Roman"/>
      <family val="1"/>
    </font>
    <font>
      <b/>
      <u val="single"/>
      <sz val="8"/>
      <name val="Times New Roman"/>
      <family val="1"/>
    </font>
    <font>
      <b/>
      <u val="single"/>
      <sz val="10"/>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8"/>
      <name val="Times New Roman"/>
      <family val="1"/>
    </font>
    <font>
      <sz val="14"/>
      <color indexed="9"/>
      <name val="Times New Roman"/>
      <family val="1"/>
    </font>
    <font>
      <sz val="13"/>
      <name val="Times New Roman"/>
      <family val="1"/>
    </font>
    <font>
      <b/>
      <i/>
      <sz val="14"/>
      <color indexed="8"/>
      <name val="Times New Roman"/>
      <family val="1"/>
    </font>
    <font>
      <u val="single"/>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i/>
      <u val="single"/>
      <sz val="12"/>
      <color indexed="8"/>
      <name val="Times New Roman"/>
      <family val="1"/>
    </font>
    <font>
      <b/>
      <sz val="14"/>
      <color indexed="8"/>
      <name val="Times New Roman"/>
      <family val="1"/>
    </font>
    <font>
      <sz val="14"/>
      <color indexed="8"/>
      <name val="Times New Roman"/>
      <family val="1"/>
    </font>
    <font>
      <i/>
      <sz val="14"/>
      <color indexed="8"/>
      <name val="Times New Roman"/>
      <family val="1"/>
    </font>
    <font>
      <sz val="10"/>
      <color indexed="8"/>
      <name val="Times New Roman"/>
      <family val="1"/>
    </font>
    <font>
      <b/>
      <sz val="14"/>
      <color indexed="10"/>
      <name val="Times New Roman"/>
      <family val="1"/>
    </font>
    <font>
      <b/>
      <sz val="10"/>
      <color indexed="63"/>
      <name val="Times New Roman"/>
      <family val="1"/>
    </font>
    <font>
      <b/>
      <sz val="13"/>
      <color indexed="8"/>
      <name val="Times New Roman"/>
      <family val="1"/>
    </font>
    <font>
      <sz val="13"/>
      <color indexed="8"/>
      <name val="Times New Roman"/>
      <family val="1"/>
    </font>
    <font>
      <sz val="11"/>
      <color indexed="63"/>
      <name val="Arial"/>
      <family val="2"/>
    </font>
    <font>
      <b/>
      <sz val="10"/>
      <color indexed="8"/>
      <name val="Times New Roman"/>
      <family val="1"/>
    </font>
    <font>
      <sz val="8"/>
      <color indexed="8"/>
      <name val="Arial"/>
      <family val="2"/>
    </font>
    <font>
      <sz val="9"/>
      <color indexed="8"/>
      <name val="Arial"/>
      <family val="2"/>
    </font>
    <font>
      <u val="single"/>
      <sz val="11"/>
      <color indexed="8"/>
      <name val="Calibri"/>
      <family val="2"/>
    </font>
    <font>
      <sz val="10"/>
      <color indexed="63"/>
      <name val="Arial"/>
      <family val="2"/>
    </font>
    <font>
      <sz val="14"/>
      <color indexed="10"/>
      <name val="Times New Roman"/>
      <family val="1"/>
    </font>
    <font>
      <b/>
      <sz val="14"/>
      <color indexed="9"/>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i/>
      <u val="single"/>
      <sz val="12"/>
      <color theme="1"/>
      <name val="Times New Roman"/>
      <family val="1"/>
    </font>
    <font>
      <b/>
      <sz val="14"/>
      <color theme="1"/>
      <name val="Times New Roman"/>
      <family val="1"/>
    </font>
    <font>
      <sz val="14"/>
      <color theme="1"/>
      <name val="Times New Roman"/>
      <family val="1"/>
    </font>
    <font>
      <i/>
      <sz val="14"/>
      <color theme="1"/>
      <name val="Times New Roman"/>
      <family val="1"/>
    </font>
    <font>
      <sz val="10"/>
      <color theme="1"/>
      <name val="Times New Roman"/>
      <family val="1"/>
    </font>
    <font>
      <b/>
      <sz val="14"/>
      <color rgb="FFFF0000"/>
      <name val="Times New Roman"/>
      <family val="1"/>
    </font>
    <font>
      <b/>
      <sz val="10"/>
      <color rgb="FF333333"/>
      <name val="Times New Roman"/>
      <family val="1"/>
    </font>
    <font>
      <sz val="14"/>
      <color rgb="FF000000"/>
      <name val="Times New Roman"/>
      <family val="1"/>
    </font>
    <font>
      <b/>
      <sz val="14"/>
      <color rgb="FF000000"/>
      <name val="Times New Roman"/>
      <family val="1"/>
    </font>
    <font>
      <b/>
      <sz val="13"/>
      <color rgb="FF000000"/>
      <name val="Times New Roman"/>
      <family val="1"/>
    </font>
    <font>
      <sz val="13"/>
      <color rgb="FF000000"/>
      <name val="Times New Roman"/>
      <family val="1"/>
    </font>
    <font>
      <b/>
      <sz val="12"/>
      <color rgb="FF000000"/>
      <name val="Times New Roman"/>
      <family val="1"/>
    </font>
    <font>
      <sz val="12"/>
      <color rgb="FF000000"/>
      <name val="Times New Roman"/>
      <family val="1"/>
    </font>
    <font>
      <sz val="11"/>
      <color rgb="FF454545"/>
      <name val="Arial"/>
      <family val="2"/>
    </font>
    <font>
      <b/>
      <sz val="10"/>
      <color theme="1"/>
      <name val="Times New Roman"/>
      <family val="1"/>
    </font>
    <font>
      <sz val="8"/>
      <color theme="1"/>
      <name val="Arial"/>
      <family val="2"/>
    </font>
    <font>
      <sz val="9"/>
      <color theme="1"/>
      <name val="Arial"/>
      <family val="2"/>
    </font>
    <font>
      <u val="single"/>
      <sz val="11"/>
      <color theme="1"/>
      <name val="Calibri"/>
      <family val="2"/>
    </font>
    <font>
      <sz val="10"/>
      <color rgb="FF555555"/>
      <name val="Arial"/>
      <family val="2"/>
    </font>
    <font>
      <sz val="12"/>
      <color rgb="FFFF0000"/>
      <name val="Times New Roman"/>
      <family val="1"/>
    </font>
    <font>
      <sz val="14"/>
      <color rgb="FFFF0000"/>
      <name val="Times New Roman"/>
      <family val="1"/>
    </font>
    <font>
      <sz val="14"/>
      <color theme="0"/>
      <name val="Times New Roman"/>
      <family val="1"/>
    </font>
    <font>
      <b/>
      <sz val="14"/>
      <color theme="0"/>
      <name val="Times New Roman"/>
      <family val="1"/>
    </font>
    <font>
      <b/>
      <u val="single"/>
      <sz val="14"/>
      <color theme="1"/>
      <name val="Times New Roman"/>
      <family val="1"/>
    </font>
    <font>
      <sz val="13"/>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CCFF"/>
        <bgColor indexed="64"/>
      </patternFill>
    </fill>
    <fill>
      <patternFill patternType="solid">
        <fgColor theme="2"/>
        <bgColor indexed="64"/>
      </patternFill>
    </fill>
    <fill>
      <patternFill patternType="solid">
        <fgColor rgb="FFF9F9F9"/>
        <bgColor indexed="64"/>
      </patternFill>
    </fill>
    <fill>
      <patternFill patternType="solid">
        <fgColor rgb="FFFFFFFF"/>
        <bgColor indexed="64"/>
      </patternFill>
    </fill>
    <fill>
      <patternFill patternType="solid">
        <fgColor rgb="FFE8E8E8"/>
        <bgColor indexed="64"/>
      </patternFill>
    </fill>
    <fill>
      <patternFill patternType="solid">
        <fgColor rgb="FFF3F7FA"/>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medium"/>
      <bottom style="medium"/>
    </border>
    <border>
      <left/>
      <right style="thin"/>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medium"/>
    </border>
    <border>
      <left style="medium">
        <color rgb="FFCFD3D6"/>
      </left>
      <right style="medium">
        <color rgb="FFCFD3D6"/>
      </right>
      <top style="medium">
        <color rgb="FFCFD3D6"/>
      </top>
      <bottom style="medium">
        <color rgb="FFCFD3D6"/>
      </bottom>
    </border>
    <border>
      <left style="medium">
        <color rgb="FFCFD3D6"/>
      </left>
      <right style="medium">
        <color rgb="FFCFD3D6"/>
      </right>
      <top style="medium">
        <color rgb="FFCFD3D6"/>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color rgb="FF000000"/>
      </bottom>
    </border>
    <border>
      <left style="thin"/>
      <right style="thin"/>
      <top style="medium"/>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8" fillId="0" borderId="0">
      <alignment/>
      <protection/>
    </xf>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8" fillId="0" borderId="0">
      <alignment/>
      <protection/>
    </xf>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80" fillId="32" borderId="0" applyNumberFormat="0" applyBorder="0" applyAlignment="0" applyProtection="0"/>
  </cellStyleXfs>
  <cellXfs count="487">
    <xf numFmtId="0" fontId="0" fillId="0" borderId="0" xfId="0" applyFont="1" applyAlignment="1">
      <alignment/>
    </xf>
    <xf numFmtId="0" fontId="81"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xf>
    <xf numFmtId="0" fontId="81" fillId="33" borderId="10" xfId="0" applyFont="1" applyFill="1" applyBorder="1" applyAlignment="1">
      <alignment horizontal="left" vertical="center" wrapText="1"/>
    </xf>
    <xf numFmtId="0" fontId="81" fillId="33" borderId="10" xfId="0"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81" fillId="0" borderId="0" xfId="0" applyFont="1" applyAlignment="1">
      <alignment/>
    </xf>
    <xf numFmtId="0" fontId="82" fillId="0" borderId="0" xfId="0" applyFont="1" applyAlignment="1">
      <alignment/>
    </xf>
    <xf numFmtId="0" fontId="82" fillId="0" borderId="0" xfId="0" applyFont="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10" fillId="0" borderId="10" xfId="0" applyFont="1" applyFill="1" applyBorder="1" applyAlignment="1">
      <alignment horizontal="left" vertical="center" wrapText="1"/>
    </xf>
    <xf numFmtId="0" fontId="10" fillId="0" borderId="10" xfId="0" applyFont="1" applyFill="1" applyBorder="1" applyAlignment="1" quotePrefix="1">
      <alignment horizontal="center" vertical="center"/>
    </xf>
    <xf numFmtId="172" fontId="10"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quotePrefix="1">
      <alignment horizontal="center" vertical="center"/>
    </xf>
    <xf numFmtId="172" fontId="10" fillId="35" borderId="10" xfId="0" applyNumberFormat="1" applyFont="1" applyFill="1" applyBorder="1" applyAlignment="1">
      <alignment horizontal="center" vertical="center" wrapText="1"/>
    </xf>
    <xf numFmtId="172" fontId="10" fillId="36" borderId="10" xfId="0" applyNumberFormat="1" applyFont="1" applyFill="1" applyBorder="1" applyAlignment="1">
      <alignment horizontal="center" vertical="center" wrapText="1"/>
    </xf>
    <xf numFmtId="0" fontId="10" fillId="0" borderId="0" xfId="0" applyFont="1" applyFill="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10" fillId="0" borderId="10" xfId="0" applyNumberFormat="1" applyFont="1" applyFill="1" applyBorder="1" applyAlignment="1" quotePrefix="1">
      <alignment horizontal="center" vertical="center" wrapText="1"/>
    </xf>
    <xf numFmtId="172" fontId="4" fillId="35"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quotePrefix="1">
      <alignment horizontal="center" vertical="center" wrapText="1"/>
    </xf>
    <xf numFmtId="0" fontId="10"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4" fillId="0" borderId="10" xfId="0" applyFont="1" applyFill="1" applyBorder="1" applyAlignment="1" quotePrefix="1">
      <alignment horizontal="center" vertical="center"/>
    </xf>
    <xf numFmtId="172" fontId="4" fillId="37" borderId="1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applyFont="1" applyFill="1" applyBorder="1" applyAlignment="1" quotePrefix="1">
      <alignment horizontal="center" vertical="center"/>
    </xf>
    <xf numFmtId="172" fontId="10" fillId="0" borderId="0" xfId="0" applyNumberFormat="1" applyFont="1" applyFill="1" applyBorder="1" applyAlignment="1">
      <alignment horizontal="center" vertical="center" wrapText="1"/>
    </xf>
    <xf numFmtId="174" fontId="10" fillId="0" borderId="0" xfId="0" applyNumberFormat="1" applyFont="1" applyFill="1" applyBorder="1" applyAlignment="1">
      <alignment horizontal="center" vertical="center" wrapText="1"/>
    </xf>
    <xf numFmtId="174" fontId="10" fillId="0" borderId="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10" fillId="0" borderId="0" xfId="0" applyFont="1" applyFill="1" applyBorder="1" applyAlignment="1">
      <alignment vertical="center" wrapText="1"/>
    </xf>
    <xf numFmtId="2" fontId="10" fillId="0" borderId="0" xfId="0" applyNumberFormat="1" applyFont="1" applyFill="1" applyAlignment="1">
      <alignment vertical="center"/>
    </xf>
    <xf numFmtId="0" fontId="83" fillId="0" borderId="0" xfId="0" applyFont="1" applyAlignment="1">
      <alignment/>
    </xf>
    <xf numFmtId="0" fontId="3" fillId="0" borderId="10" xfId="0" applyFont="1" applyBorder="1" applyAlignment="1">
      <alignment horizontal="center" vertical="center" wrapText="1"/>
    </xf>
    <xf numFmtId="0" fontId="84" fillId="0" borderId="0" xfId="0" applyFont="1" applyAlignment="1">
      <alignment horizontal="left" vertical="center"/>
    </xf>
    <xf numFmtId="4" fontId="81" fillId="0" borderId="10" xfId="0" applyNumberFormat="1" applyFont="1" applyBorder="1" applyAlignment="1">
      <alignment horizontal="right" vertical="center"/>
    </xf>
    <xf numFmtId="0" fontId="81" fillId="0" borderId="10" xfId="0" applyFont="1" applyBorder="1" applyAlignment="1">
      <alignment/>
    </xf>
    <xf numFmtId="4" fontId="6" fillId="0" borderId="10" xfId="0" applyNumberFormat="1" applyFont="1" applyFill="1" applyBorder="1" applyAlignment="1">
      <alignment horizontal="right" vertical="center"/>
    </xf>
    <xf numFmtId="0" fontId="83" fillId="0" borderId="0" xfId="0" applyFont="1" applyAlignment="1">
      <alignment horizontal="center" vertical="center"/>
    </xf>
    <xf numFmtId="0" fontId="81" fillId="33" borderId="0" xfId="0" applyFont="1" applyFill="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38" borderId="0" xfId="0" applyFont="1" applyFill="1" applyBorder="1" applyAlignment="1">
      <alignment vertical="center"/>
    </xf>
    <xf numFmtId="0" fontId="6" fillId="0" borderId="0" xfId="0" applyFont="1" applyBorder="1" applyAlignment="1">
      <alignment horizontal="center" vertical="top" wrapText="1"/>
    </xf>
    <xf numFmtId="0" fontId="3" fillId="0" borderId="0" xfId="0" applyFont="1" applyBorder="1" applyAlignment="1">
      <alignment/>
    </xf>
    <xf numFmtId="0" fontId="81" fillId="0" borderId="0" xfId="0" applyFont="1" applyFill="1" applyAlignment="1">
      <alignment/>
    </xf>
    <xf numFmtId="0" fontId="81" fillId="0" borderId="0" xfId="0" applyFont="1" applyFill="1" applyAlignment="1">
      <alignment/>
    </xf>
    <xf numFmtId="4" fontId="83" fillId="0" borderId="0" xfId="0" applyNumberFormat="1" applyFont="1" applyFill="1" applyAlignment="1">
      <alignment/>
    </xf>
    <xf numFmtId="0" fontId="83" fillId="0" borderId="0" xfId="0" applyFont="1" applyFill="1" applyAlignment="1">
      <alignment/>
    </xf>
    <xf numFmtId="4" fontId="81" fillId="0" borderId="10" xfId="0" applyNumberFormat="1" applyFont="1" applyFill="1" applyBorder="1" applyAlignment="1">
      <alignment horizontal="right" vertical="center"/>
    </xf>
    <xf numFmtId="4" fontId="83" fillId="0" borderId="10" xfId="0" applyNumberFormat="1" applyFont="1" applyFill="1" applyBorder="1" applyAlignment="1">
      <alignment/>
    </xf>
    <xf numFmtId="0" fontId="81" fillId="0" borderId="0" xfId="0" applyFont="1" applyFill="1" applyAlignment="1">
      <alignment horizontal="left" vertical="center" wrapText="1"/>
    </xf>
    <xf numFmtId="4" fontId="83" fillId="0" borderId="0" xfId="0" applyNumberFormat="1" applyFont="1" applyFill="1" applyBorder="1" applyAlignment="1">
      <alignment/>
    </xf>
    <xf numFmtId="4" fontId="81" fillId="0" borderId="0" xfId="0" applyNumberFormat="1" applyFont="1" applyFill="1" applyAlignment="1">
      <alignment/>
    </xf>
    <xf numFmtId="0" fontId="81" fillId="34" borderId="10" xfId="0" applyFont="1" applyFill="1" applyBorder="1" applyAlignment="1">
      <alignment horizontal="left"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169" fontId="10" fillId="0" borderId="0" xfId="62" applyFont="1" applyFill="1" applyBorder="1" applyAlignment="1">
      <alignment horizontal="center" vertical="center" wrapText="1"/>
    </xf>
    <xf numFmtId="169" fontId="4" fillId="33" borderId="0" xfId="62" applyFont="1" applyFill="1" applyBorder="1" applyAlignment="1">
      <alignment horizontal="center" vertical="center" wrapText="1"/>
    </xf>
    <xf numFmtId="49" fontId="10" fillId="39" borderId="0" xfId="0" applyNumberFormat="1" applyFont="1" applyFill="1" applyBorder="1" applyAlignment="1">
      <alignment horizontal="left" vertical="center" wrapText="1"/>
    </xf>
    <xf numFmtId="171" fontId="82" fillId="33" borderId="10" xfId="0" applyNumberFormat="1" applyFont="1" applyFill="1" applyBorder="1" applyAlignment="1">
      <alignment/>
    </xf>
    <xf numFmtId="169" fontId="82" fillId="0" borderId="0" xfId="62" applyFont="1" applyAlignment="1">
      <alignment/>
    </xf>
    <xf numFmtId="169" fontId="15" fillId="0" borderId="0" xfId="62" applyFont="1" applyFill="1" applyBorder="1" applyAlignment="1">
      <alignment vertical="center"/>
    </xf>
    <xf numFmtId="169" fontId="10" fillId="0" borderId="0" xfId="0" applyNumberFormat="1" applyFont="1" applyFill="1" applyBorder="1" applyAlignment="1">
      <alignment vertical="center"/>
    </xf>
    <xf numFmtId="169" fontId="4" fillId="0" borderId="0" xfId="62" applyFont="1" applyFill="1" applyBorder="1" applyAlignment="1">
      <alignment horizontal="center" vertical="center" wrapText="1"/>
    </xf>
    <xf numFmtId="169" fontId="85" fillId="0" borderId="0" xfId="0" applyNumberFormat="1" applyFont="1" applyFill="1" applyAlignment="1">
      <alignment/>
    </xf>
    <xf numFmtId="0" fontId="82" fillId="0" borderId="0" xfId="0" applyFont="1" applyFill="1" applyAlignment="1">
      <alignment/>
    </xf>
    <xf numFmtId="169" fontId="85" fillId="40" borderId="0" xfId="0" applyNumberFormat="1" applyFont="1" applyFill="1" applyAlignment="1">
      <alignment horizontal="center" vertical="center"/>
    </xf>
    <xf numFmtId="169" fontId="85" fillId="0" borderId="0" xfId="0" applyNumberFormat="1" applyFont="1" applyFill="1" applyAlignment="1">
      <alignment horizontal="center" vertical="center"/>
    </xf>
    <xf numFmtId="169" fontId="85" fillId="38" borderId="0" xfId="0" applyNumberFormat="1" applyFont="1" applyFill="1" applyAlignment="1">
      <alignment horizontal="center" vertical="center"/>
    </xf>
    <xf numFmtId="169" fontId="85" fillId="39" borderId="0" xfId="0" applyNumberFormat="1" applyFont="1" applyFill="1" applyAlignment="1">
      <alignment horizontal="center" vertical="center"/>
    </xf>
    <xf numFmtId="169" fontId="10" fillId="41" borderId="0" xfId="62" applyFont="1" applyFill="1" applyBorder="1" applyAlignment="1">
      <alignment horizontal="center" vertical="center" wrapText="1"/>
    </xf>
    <xf numFmtId="0" fontId="86" fillId="0" borderId="0" xfId="0" applyFont="1" applyFill="1" applyBorder="1" applyAlignment="1">
      <alignment vertical="center"/>
    </xf>
    <xf numFmtId="0" fontId="86" fillId="0" borderId="10" xfId="0" applyFont="1" applyFill="1" applyBorder="1" applyAlignment="1">
      <alignment vertical="center"/>
    </xf>
    <xf numFmtId="0" fontId="86" fillId="0" borderId="13" xfId="0" applyFont="1" applyFill="1" applyBorder="1" applyAlignment="1">
      <alignment vertical="center" wrapText="1"/>
    </xf>
    <xf numFmtId="0" fontId="86" fillId="0" borderId="12" xfId="0" applyFont="1" applyFill="1" applyBorder="1" applyAlignment="1">
      <alignment vertical="center"/>
    </xf>
    <xf numFmtId="0" fontId="86" fillId="0" borderId="13" xfId="0" applyFont="1" applyFill="1" applyBorder="1" applyAlignment="1">
      <alignment vertical="center"/>
    </xf>
    <xf numFmtId="0" fontId="86" fillId="0" borderId="12" xfId="0" applyFont="1" applyFill="1" applyBorder="1" applyAlignment="1">
      <alignment vertical="center" wrapText="1"/>
    </xf>
    <xf numFmtId="0" fontId="86" fillId="0" borderId="14" xfId="0" applyFont="1" applyFill="1" applyBorder="1" applyAlignment="1">
      <alignment vertical="center" wrapText="1"/>
    </xf>
    <xf numFmtId="0" fontId="86" fillId="0" borderId="15" xfId="0" applyFont="1" applyFill="1" applyBorder="1" applyAlignment="1">
      <alignment vertical="center"/>
    </xf>
    <xf numFmtId="0" fontId="86" fillId="0" borderId="10" xfId="0" applyFont="1" applyFill="1" applyBorder="1" applyAlignment="1">
      <alignment vertical="center" wrapText="1"/>
    </xf>
    <xf numFmtId="0" fontId="85" fillId="0" borderId="0" xfId="0" applyFont="1" applyFill="1" applyBorder="1" applyAlignment="1">
      <alignment horizontal="center" vertical="center" wrapText="1"/>
    </xf>
    <xf numFmtId="0" fontId="86" fillId="0" borderId="10" xfId="0" applyFont="1" applyFill="1" applyBorder="1" applyAlignment="1">
      <alignment horizontal="center" vertical="center" wrapText="1" shrinkToFit="1"/>
    </xf>
    <xf numFmtId="173" fontId="86" fillId="35" borderId="10" xfId="0" applyNumberFormat="1" applyFont="1" applyFill="1" applyBorder="1" applyAlignment="1">
      <alignment horizontal="center" vertical="center" wrapText="1"/>
    </xf>
    <xf numFmtId="173" fontId="86" fillId="0" borderId="10" xfId="0" applyNumberFormat="1" applyFont="1" applyFill="1" applyBorder="1" applyAlignment="1">
      <alignment horizontal="center" vertical="center" wrapText="1"/>
    </xf>
    <xf numFmtId="173" fontId="85" fillId="35" borderId="10" xfId="0" applyNumberFormat="1" applyFont="1" applyFill="1" applyBorder="1" applyAlignment="1">
      <alignment horizontal="center" vertical="center" wrapText="1"/>
    </xf>
    <xf numFmtId="173" fontId="86" fillId="36" borderId="10" xfId="0" applyNumberFormat="1" applyFont="1" applyFill="1" applyBorder="1" applyAlignment="1">
      <alignment horizontal="center" vertical="center" wrapText="1"/>
    </xf>
    <xf numFmtId="173" fontId="85" fillId="36" borderId="10" xfId="0" applyNumberFormat="1" applyFont="1" applyFill="1" applyBorder="1" applyAlignment="1">
      <alignment horizontal="center" vertical="center" wrapText="1"/>
    </xf>
    <xf numFmtId="172" fontId="86" fillId="0" borderId="10" xfId="0" applyNumberFormat="1" applyFont="1" applyFill="1" applyBorder="1" applyAlignment="1">
      <alignment horizontal="center" vertical="center" wrapText="1"/>
    </xf>
    <xf numFmtId="0" fontId="85" fillId="0" borderId="12" xfId="0" applyFont="1" applyFill="1" applyBorder="1" applyAlignment="1">
      <alignment vertical="center" wrapText="1"/>
    </xf>
    <xf numFmtId="0" fontId="85" fillId="0" borderId="13" xfId="0" applyFont="1" applyFill="1" applyBorder="1" applyAlignment="1">
      <alignment vertical="center" wrapText="1"/>
    </xf>
    <xf numFmtId="173" fontId="85" fillId="37"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172" fontId="86" fillId="0" borderId="0" xfId="0" applyNumberFormat="1" applyFont="1" applyFill="1" applyBorder="1" applyAlignment="1">
      <alignment horizontal="center" vertical="center" wrapText="1"/>
    </xf>
    <xf numFmtId="174" fontId="86" fillId="0" borderId="0" xfId="0" applyNumberFormat="1" applyFont="1" applyFill="1" applyBorder="1" applyAlignment="1">
      <alignment horizontal="right" vertical="center" wrapText="1"/>
    </xf>
    <xf numFmtId="174" fontId="87" fillId="0" borderId="0" xfId="0" applyNumberFormat="1" applyFont="1" applyFill="1" applyBorder="1" applyAlignment="1">
      <alignment vertical="center"/>
    </xf>
    <xf numFmtId="0" fontId="88" fillId="0" borderId="0" xfId="0" applyFont="1" applyFill="1" applyAlignment="1">
      <alignment horizontal="left" vertical="center"/>
    </xf>
    <xf numFmtId="0" fontId="86" fillId="0" borderId="0" xfId="0" applyFont="1" applyFill="1" applyBorder="1" applyAlignment="1">
      <alignment horizontal="center" vertical="center"/>
    </xf>
    <xf numFmtId="169" fontId="89" fillId="0" borderId="0" xfId="0" applyNumberFormat="1" applyFont="1" applyFill="1" applyBorder="1" applyAlignment="1">
      <alignment horizontal="left" vertical="center" wrapText="1"/>
    </xf>
    <xf numFmtId="2" fontId="10" fillId="42" borderId="0" xfId="0" applyNumberFormat="1" applyFont="1" applyFill="1" applyBorder="1" applyAlignment="1">
      <alignment vertical="center"/>
    </xf>
    <xf numFmtId="2" fontId="10" fillId="42" borderId="0" xfId="0" applyNumberFormat="1" applyFont="1" applyFill="1" applyAlignment="1">
      <alignment vertical="center"/>
    </xf>
    <xf numFmtId="49" fontId="10" fillId="42" borderId="0" xfId="0" applyNumberFormat="1" applyFont="1" applyFill="1" applyBorder="1" applyAlignment="1">
      <alignment horizontal="left" vertical="center" wrapText="1"/>
    </xf>
    <xf numFmtId="2" fontId="10" fillId="42" borderId="0" xfId="0" applyNumberFormat="1" applyFont="1" applyFill="1" applyBorder="1" applyAlignment="1">
      <alignment horizontal="left" vertical="center" wrapText="1"/>
    </xf>
    <xf numFmtId="170" fontId="10" fillId="42" borderId="0" xfId="0" applyNumberFormat="1" applyFont="1" applyFill="1" applyAlignment="1">
      <alignment vertical="center"/>
    </xf>
    <xf numFmtId="0" fontId="10" fillId="42" borderId="0" xfId="0" applyFont="1" applyFill="1" applyAlignment="1">
      <alignment vertical="center"/>
    </xf>
    <xf numFmtId="170" fontId="10" fillId="42" borderId="0" xfId="0" applyNumberFormat="1" applyFont="1" applyFill="1" applyBorder="1" applyAlignment="1">
      <alignment vertical="center"/>
    </xf>
    <xf numFmtId="49" fontId="10" fillId="0" borderId="0" xfId="0" applyNumberFormat="1" applyFont="1" applyFill="1" applyAlignment="1">
      <alignment vertical="center"/>
    </xf>
    <xf numFmtId="175" fontId="10" fillId="0" borderId="0" xfId="0" applyNumberFormat="1" applyFont="1" applyFill="1" applyBorder="1" applyAlignment="1">
      <alignment vertical="center"/>
    </xf>
    <xf numFmtId="0" fontId="86" fillId="0" borderId="10" xfId="0" applyFont="1" applyFill="1" applyBorder="1" applyAlignment="1">
      <alignment horizontal="center" vertical="center" wrapText="1"/>
    </xf>
    <xf numFmtId="0" fontId="86" fillId="0" borderId="10" xfId="0" applyFont="1" applyFill="1" applyBorder="1" applyAlignment="1">
      <alignment horizontal="center" vertical="center"/>
    </xf>
    <xf numFmtId="0" fontId="81" fillId="0" borderId="0" xfId="0" applyFont="1" applyAlignment="1">
      <alignment horizontal="left" vertical="center" wrapText="1"/>
    </xf>
    <xf numFmtId="0" fontId="81" fillId="0" borderId="10" xfId="0" applyFont="1" applyBorder="1" applyAlignment="1">
      <alignment horizontal="left" vertical="center" wrapText="1"/>
    </xf>
    <xf numFmtId="0" fontId="86" fillId="0" borderId="10" xfId="0" applyFont="1" applyFill="1" applyBorder="1" applyAlignment="1">
      <alignment horizontal="center" vertical="center"/>
    </xf>
    <xf numFmtId="0" fontId="90" fillId="43" borderId="16" xfId="0" applyFont="1" applyFill="1" applyBorder="1" applyAlignment="1">
      <alignment horizontal="center" vertical="center" wrapText="1"/>
    </xf>
    <xf numFmtId="0" fontId="2" fillId="43" borderId="17" xfId="0" applyFont="1" applyFill="1" applyBorder="1" applyAlignment="1">
      <alignment horizontal="center" vertical="center" wrapText="1"/>
    </xf>
    <xf numFmtId="4" fontId="5" fillId="43" borderId="16" xfId="0" applyNumberFormat="1" applyFont="1" applyFill="1" applyBorder="1" applyAlignment="1">
      <alignment horizontal="center" vertical="center" wrapText="1"/>
    </xf>
    <xf numFmtId="0" fontId="5" fillId="43" borderId="18" xfId="0" applyFont="1" applyFill="1" applyBorder="1" applyAlignment="1">
      <alignment horizontal="center" vertical="center" wrapText="1"/>
    </xf>
    <xf numFmtId="0" fontId="90" fillId="43" borderId="17" xfId="0" applyFont="1" applyFill="1" applyBorder="1" applyAlignment="1">
      <alignment horizontal="center" vertical="center" wrapText="1"/>
    </xf>
    <xf numFmtId="0" fontId="88" fillId="0" borderId="0" xfId="0" applyFont="1" applyAlignment="1">
      <alignment/>
    </xf>
    <xf numFmtId="4" fontId="83" fillId="33" borderId="10" xfId="0" applyNumberFormat="1" applyFont="1" applyFill="1" applyBorder="1" applyAlignment="1">
      <alignment horizontal="right" vertical="center"/>
    </xf>
    <xf numFmtId="0" fontId="81" fillId="33" borderId="0" xfId="0" applyFont="1" applyFill="1" applyAlignment="1">
      <alignment horizontal="left"/>
    </xf>
    <xf numFmtId="0" fontId="81" fillId="0" borderId="0" xfId="0" applyFont="1" applyAlignment="1">
      <alignment horizontal="left"/>
    </xf>
    <xf numFmtId="4" fontId="81" fillId="0" borderId="0" xfId="0" applyNumberFormat="1" applyFont="1" applyAlignment="1">
      <alignment horizontal="right"/>
    </xf>
    <xf numFmtId="4" fontId="83" fillId="33" borderId="0" xfId="0" applyNumberFormat="1" applyFont="1" applyFill="1" applyAlignment="1">
      <alignment horizontal="right"/>
    </xf>
    <xf numFmtId="0" fontId="17" fillId="43" borderId="19"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8" fillId="33" borderId="0" xfId="0" applyFont="1" applyFill="1" applyAlignment="1">
      <alignment/>
    </xf>
    <xf numFmtId="4" fontId="81" fillId="2" borderId="10" xfId="0" applyNumberFormat="1" applyFont="1" applyFill="1" applyBorder="1" applyAlignment="1">
      <alignment horizontal="right" vertical="center"/>
    </xf>
    <xf numFmtId="4" fontId="83" fillId="0" borderId="0" xfId="0" applyNumberFormat="1" applyFont="1" applyAlignment="1">
      <alignment horizontal="center"/>
    </xf>
    <xf numFmtId="0" fontId="81" fillId="34" borderId="20" xfId="0" applyFont="1" applyFill="1" applyBorder="1" applyAlignment="1">
      <alignment horizontal="center" vertical="center" wrapText="1"/>
    </xf>
    <xf numFmtId="0" fontId="81" fillId="39" borderId="0" xfId="0" applyFont="1" applyFill="1" applyAlignment="1">
      <alignment/>
    </xf>
    <xf numFmtId="0" fontId="81" fillId="0" borderId="0" xfId="0" applyFont="1" applyAlignment="1">
      <alignment vertical="center"/>
    </xf>
    <xf numFmtId="0" fontId="81" fillId="39" borderId="0" xfId="0" applyFont="1" applyFill="1" applyAlignment="1">
      <alignment vertical="center"/>
    </xf>
    <xf numFmtId="0" fontId="81" fillId="39" borderId="10" xfId="0" applyFont="1" applyFill="1" applyBorder="1" applyAlignment="1">
      <alignment horizontal="left" vertical="center" wrapText="1"/>
    </xf>
    <xf numFmtId="0" fontId="81" fillId="39" borderId="10" xfId="0" applyFont="1" applyFill="1" applyBorder="1" applyAlignment="1">
      <alignment horizontal="center" vertical="center" wrapText="1"/>
    </xf>
    <xf numFmtId="4" fontId="81" fillId="39" borderId="10" xfId="0" applyNumberFormat="1" applyFont="1" applyFill="1" applyBorder="1" applyAlignment="1">
      <alignment horizontal="right" vertical="center"/>
    </xf>
    <xf numFmtId="0" fontId="88" fillId="39" borderId="10" xfId="0" applyFont="1" applyFill="1" applyBorder="1" applyAlignment="1">
      <alignment horizontal="center" vertical="center" wrapText="1"/>
    </xf>
    <xf numFmtId="0" fontId="81" fillId="39" borderId="0" xfId="0" applyFont="1" applyFill="1" applyAlignment="1">
      <alignment horizontal="center" vertical="center"/>
    </xf>
    <xf numFmtId="0" fontId="91" fillId="0" borderId="0" xfId="0" applyFont="1" applyAlignment="1">
      <alignment horizontal="justify" vertical="center"/>
    </xf>
    <xf numFmtId="169" fontId="10" fillId="0" borderId="0" xfId="62" applyFont="1" applyFill="1" applyBorder="1" applyAlignment="1">
      <alignment vertical="center"/>
    </xf>
    <xf numFmtId="169" fontId="92" fillId="0" borderId="0" xfId="62" applyFont="1" applyAlignment="1">
      <alignment horizontal="justify" vertical="center"/>
    </xf>
    <xf numFmtId="169" fontId="81" fillId="0" borderId="0" xfId="62" applyFont="1" applyAlignment="1">
      <alignment/>
    </xf>
    <xf numFmtId="176" fontId="81" fillId="0" borderId="0" xfId="62" applyNumberFormat="1" applyFont="1" applyAlignment="1">
      <alignment/>
    </xf>
    <xf numFmtId="177" fontId="81" fillId="0" borderId="0" xfId="62" applyNumberFormat="1" applyFont="1" applyAlignment="1">
      <alignment/>
    </xf>
    <xf numFmtId="178" fontId="81" fillId="0" borderId="0" xfId="62" applyNumberFormat="1" applyFont="1" applyAlignment="1">
      <alignment/>
    </xf>
    <xf numFmtId="179" fontId="81" fillId="0" borderId="0" xfId="0" applyNumberFormat="1" applyFont="1" applyAlignment="1">
      <alignment/>
    </xf>
    <xf numFmtId="4" fontId="81" fillId="33" borderId="1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169" fontId="81" fillId="0" borderId="0" xfId="62" applyFont="1" applyAlignment="1">
      <alignment horizontal="center" vertical="center"/>
    </xf>
    <xf numFmtId="169" fontId="83" fillId="33" borderId="0" xfId="62" applyFont="1" applyFill="1" applyAlignment="1">
      <alignment horizontal="center" vertical="center"/>
    </xf>
    <xf numFmtId="169" fontId="83" fillId="33" borderId="0" xfId="0" applyNumberFormat="1" applyFont="1" applyFill="1" applyAlignment="1">
      <alignment horizontal="center" vertical="center"/>
    </xf>
    <xf numFmtId="0" fontId="81" fillId="0" borderId="0" xfId="0" applyFont="1" applyAlignment="1">
      <alignment horizontal="center" vertical="center"/>
    </xf>
    <xf numFmtId="43" fontId="81" fillId="0" borderId="0" xfId="0" applyNumberFormat="1" applyFont="1" applyAlignment="1">
      <alignment horizontal="center" vertical="center"/>
    </xf>
    <xf numFmtId="169" fontId="81" fillId="3" borderId="0" xfId="62" applyFont="1" applyFill="1" applyAlignment="1">
      <alignment horizontal="center" vertical="center"/>
    </xf>
    <xf numFmtId="0" fontId="81" fillId="3" borderId="0" xfId="0" applyFont="1" applyFill="1" applyAlignment="1">
      <alignment/>
    </xf>
    <xf numFmtId="0" fontId="81" fillId="34" borderId="20" xfId="0" applyFont="1" applyFill="1" applyBorder="1" applyAlignment="1">
      <alignment horizontal="center" vertical="center" wrapText="1"/>
    </xf>
    <xf numFmtId="0" fontId="81" fillId="34" borderId="15" xfId="0" applyFont="1" applyFill="1" applyBorder="1" applyAlignment="1">
      <alignment horizontal="center" vertical="center" wrapText="1"/>
    </xf>
    <xf numFmtId="173" fontId="86" fillId="6" borderId="10" xfId="0" applyNumberFormat="1" applyFont="1" applyFill="1" applyBorder="1" applyAlignment="1">
      <alignment horizontal="center" vertical="center" wrapText="1"/>
    </xf>
    <xf numFmtId="171" fontId="82" fillId="0" borderId="10" xfId="0" applyNumberFormat="1" applyFont="1" applyFill="1" applyBorder="1" applyAlignment="1">
      <alignment/>
    </xf>
    <xf numFmtId="171" fontId="82" fillId="0" borderId="0" xfId="0" applyNumberFormat="1" applyFont="1" applyFill="1" applyAlignment="1">
      <alignment/>
    </xf>
    <xf numFmtId="169" fontId="10" fillId="6" borderId="10" xfId="62" applyFont="1" applyFill="1" applyBorder="1" applyAlignment="1">
      <alignment horizontal="center" vertical="center" wrapText="1"/>
    </xf>
    <xf numFmtId="0" fontId="10" fillId="6" borderId="10" xfId="0" applyFont="1" applyFill="1" applyBorder="1" applyAlignment="1">
      <alignment horizontal="left" vertical="center" wrapText="1"/>
    </xf>
    <xf numFmtId="0" fontId="93" fillId="44" borderId="21" xfId="0" applyFont="1" applyFill="1" applyBorder="1" applyAlignment="1">
      <alignment horizontal="center" vertical="center" wrapText="1"/>
    </xf>
    <xf numFmtId="0" fontId="94" fillId="44" borderId="10" xfId="0" applyFont="1" applyFill="1" applyBorder="1" applyAlignment="1">
      <alignment horizontal="center" vertical="center" wrapText="1"/>
    </xf>
    <xf numFmtId="0" fontId="94" fillId="44" borderId="13" xfId="0" applyFont="1" applyFill="1" applyBorder="1" applyAlignment="1">
      <alignment horizontal="center" vertical="center" wrapText="1"/>
    </xf>
    <xf numFmtId="0" fontId="95" fillId="44" borderId="13" xfId="0" applyFont="1" applyFill="1" applyBorder="1" applyAlignment="1">
      <alignment horizontal="center" vertical="center" wrapText="1"/>
    </xf>
    <xf numFmtId="0" fontId="96" fillId="44" borderId="13" xfId="0" applyFont="1" applyFill="1" applyBorder="1" applyAlignment="1">
      <alignment vertical="center" wrapText="1"/>
    </xf>
    <xf numFmtId="0" fontId="94" fillId="44" borderId="21" xfId="0" applyFont="1" applyFill="1" applyBorder="1" applyAlignment="1">
      <alignment vertical="center" wrapText="1"/>
    </xf>
    <xf numFmtId="0" fontId="96" fillId="45" borderId="21" xfId="0" applyFont="1" applyFill="1" applyBorder="1" applyAlignment="1">
      <alignment horizontal="right" vertical="center" wrapText="1"/>
    </xf>
    <xf numFmtId="0" fontId="96" fillId="45" borderId="22" xfId="0" applyFont="1" applyFill="1" applyBorder="1" applyAlignment="1">
      <alignment horizontal="right" vertical="center" wrapText="1"/>
    </xf>
    <xf numFmtId="0" fontId="95" fillId="45" borderId="22" xfId="0" applyFont="1" applyFill="1" applyBorder="1" applyAlignment="1">
      <alignment horizontal="right" vertical="center" wrapText="1"/>
    </xf>
    <xf numFmtId="0" fontId="96" fillId="45" borderId="22" xfId="0" applyFont="1" applyFill="1" applyBorder="1" applyAlignment="1">
      <alignment vertical="center" wrapText="1"/>
    </xf>
    <xf numFmtId="0" fontId="81" fillId="38" borderId="10" xfId="0" applyFont="1" applyFill="1" applyBorder="1" applyAlignment="1">
      <alignment horizontal="center" vertical="center" wrapText="1"/>
    </xf>
    <xf numFmtId="0" fontId="97" fillId="0" borderId="0" xfId="0" applyFont="1" applyAlignment="1">
      <alignment/>
    </xf>
    <xf numFmtId="0" fontId="81" fillId="34" borderId="20" xfId="0" applyFont="1" applyFill="1" applyBorder="1" applyAlignment="1">
      <alignment vertical="center" wrapText="1"/>
    </xf>
    <xf numFmtId="0" fontId="81" fillId="34" borderId="21" xfId="0" applyFont="1" applyFill="1" applyBorder="1" applyAlignment="1">
      <alignment vertical="center" wrapText="1"/>
    </xf>
    <xf numFmtId="169" fontId="81" fillId="13" borderId="0" xfId="62" applyFont="1" applyFill="1" applyAlignment="1">
      <alignment horizontal="center" vertical="center"/>
    </xf>
    <xf numFmtId="0" fontId="82" fillId="0" borderId="0" xfId="0" applyFont="1" applyFill="1" applyAlignment="1">
      <alignment horizontal="left" vertical="center" wrapText="1"/>
    </xf>
    <xf numFmtId="0" fontId="81" fillId="34" borderId="20"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6" fillId="0" borderId="10" xfId="0" applyFont="1" applyFill="1" applyBorder="1" applyAlignment="1">
      <alignment horizontal="center" vertical="center"/>
    </xf>
    <xf numFmtId="169" fontId="83" fillId="0" borderId="0" xfId="0" applyNumberFormat="1" applyFont="1" applyAlignment="1">
      <alignment horizontal="center" vertical="center"/>
    </xf>
    <xf numFmtId="43" fontId="81" fillId="0" borderId="0" xfId="0" applyNumberFormat="1" applyFont="1" applyAlignment="1">
      <alignment/>
    </xf>
    <xf numFmtId="43" fontId="83" fillId="40" borderId="0" xfId="0" applyNumberFormat="1" applyFont="1" applyFill="1" applyAlignment="1">
      <alignment/>
    </xf>
    <xf numFmtId="0" fontId="81" fillId="40" borderId="0" xfId="0" applyFont="1" applyFill="1" applyAlignment="1">
      <alignment/>
    </xf>
    <xf numFmtId="4" fontId="5" fillId="43" borderId="23" xfId="0" applyNumberFormat="1" applyFont="1" applyFill="1" applyBorder="1" applyAlignment="1">
      <alignment horizontal="center" vertical="center" wrapText="1"/>
    </xf>
    <xf numFmtId="169" fontId="81" fillId="0" borderId="10" xfId="62" applyFont="1" applyBorder="1" applyAlignment="1">
      <alignment/>
    </xf>
    <xf numFmtId="4" fontId="5" fillId="33" borderId="23" xfId="0" applyNumberFormat="1" applyFont="1" applyFill="1" applyBorder="1" applyAlignment="1">
      <alignment horizontal="center" vertical="center" wrapText="1"/>
    </xf>
    <xf numFmtId="169" fontId="81" fillId="33" borderId="10" xfId="62" applyFont="1" applyFill="1" applyBorder="1" applyAlignment="1">
      <alignment/>
    </xf>
    <xf numFmtId="0" fontId="83" fillId="33" borderId="10"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83" fillId="33" borderId="0" xfId="0" applyFont="1" applyFill="1" applyAlignment="1">
      <alignment/>
    </xf>
    <xf numFmtId="169" fontId="83" fillId="33" borderId="10" xfId="62" applyFont="1" applyFill="1" applyBorder="1" applyAlignment="1">
      <alignment/>
    </xf>
    <xf numFmtId="0" fontId="98" fillId="33" borderId="10" xfId="0" applyFont="1" applyFill="1" applyBorder="1" applyAlignment="1">
      <alignment horizontal="center" vertical="center" wrapText="1"/>
    </xf>
    <xf numFmtId="0" fontId="81" fillId="2" borderId="10" xfId="0" applyFont="1" applyFill="1" applyBorder="1" applyAlignment="1">
      <alignment horizontal="left" vertical="center" wrapText="1"/>
    </xf>
    <xf numFmtId="0" fontId="83" fillId="33" borderId="0" xfId="0" applyFont="1" applyFill="1" applyAlignment="1">
      <alignment horizontal="left"/>
    </xf>
    <xf numFmtId="179" fontId="81" fillId="40" borderId="0" xfId="0" applyNumberFormat="1" applyFont="1" applyFill="1" applyAlignment="1">
      <alignment/>
    </xf>
    <xf numFmtId="169" fontId="81" fillId="40" borderId="0" xfId="62" applyFont="1" applyFill="1" applyAlignment="1">
      <alignment horizontal="center" vertical="center"/>
    </xf>
    <xf numFmtId="169" fontId="81" fillId="0" borderId="10" xfId="62" applyFont="1" applyFill="1" applyBorder="1" applyAlignment="1">
      <alignment/>
    </xf>
    <xf numFmtId="0" fontId="83" fillId="41" borderId="10" xfId="0" applyFont="1" applyFill="1" applyBorder="1" applyAlignment="1">
      <alignment horizontal="left" vertical="center" wrapText="1"/>
    </xf>
    <xf numFmtId="0" fontId="83" fillId="41" borderId="10" xfId="0" applyFont="1" applyFill="1" applyBorder="1" applyAlignment="1">
      <alignment horizontal="center" vertical="center" wrapText="1"/>
    </xf>
    <xf numFmtId="0" fontId="83" fillId="41" borderId="0" xfId="0" applyFont="1" applyFill="1" applyAlignment="1">
      <alignment/>
    </xf>
    <xf numFmtId="169" fontId="83" fillId="41" borderId="0" xfId="62" applyFont="1" applyFill="1" applyAlignment="1">
      <alignment horizontal="center" vertical="center"/>
    </xf>
    <xf numFmtId="169" fontId="83" fillId="41" borderId="10" xfId="62" applyFont="1" applyFill="1" applyBorder="1" applyAlignment="1">
      <alignment/>
    </xf>
    <xf numFmtId="0" fontId="98" fillId="41" borderId="10" xfId="0" applyFont="1" applyFill="1" applyBorder="1" applyAlignment="1">
      <alignment horizontal="center" vertical="center" wrapText="1"/>
    </xf>
    <xf numFmtId="169" fontId="83" fillId="41" borderId="10" xfId="62" applyFont="1" applyFill="1" applyBorder="1" applyAlignment="1">
      <alignment horizontal="center" vertical="center"/>
    </xf>
    <xf numFmtId="0" fontId="88" fillId="40" borderId="10" xfId="0" applyFont="1" applyFill="1" applyBorder="1" applyAlignment="1">
      <alignment horizontal="center" vertical="center" wrapText="1"/>
    </xf>
    <xf numFmtId="43" fontId="83" fillId="41" borderId="0" xfId="0" applyNumberFormat="1" applyFont="1" applyFill="1" applyAlignment="1">
      <alignment/>
    </xf>
    <xf numFmtId="0" fontId="86" fillId="0" borderId="10" xfId="0" applyFont="1" applyFill="1" applyBorder="1" applyAlignment="1">
      <alignment horizontal="center" vertical="center"/>
    </xf>
    <xf numFmtId="0" fontId="86" fillId="0" borderId="10" xfId="0" applyFont="1" applyFill="1" applyBorder="1" applyAlignment="1">
      <alignment horizontal="center" vertical="center" wrapText="1"/>
    </xf>
    <xf numFmtId="0" fontId="81" fillId="0" borderId="16" xfId="0" applyFont="1" applyBorder="1" applyAlignment="1">
      <alignment vertical="center" wrapText="1"/>
    </xf>
    <xf numFmtId="169" fontId="81" fillId="41" borderId="0" xfId="62" applyFont="1" applyFill="1" applyAlignment="1">
      <alignment horizontal="center" vertical="center"/>
    </xf>
    <xf numFmtId="0" fontId="81" fillId="0" borderId="10" xfId="0" applyFont="1" applyFill="1" applyBorder="1" applyAlignment="1">
      <alignment horizontal="left" vertical="center" wrapText="1"/>
    </xf>
    <xf numFmtId="0" fontId="81" fillId="34" borderId="15" xfId="0" applyFont="1" applyFill="1" applyBorder="1" applyAlignment="1">
      <alignment vertical="center" wrapText="1"/>
    </xf>
    <xf numFmtId="169" fontId="81" fillId="38" borderId="0" xfId="62" applyFont="1" applyFill="1" applyAlignment="1">
      <alignment horizontal="center" vertical="center"/>
    </xf>
    <xf numFmtId="0" fontId="81" fillId="34" borderId="20" xfId="0" applyFont="1" applyFill="1" applyBorder="1" applyAlignment="1">
      <alignment horizontal="center" vertical="center" wrapText="1"/>
    </xf>
    <xf numFmtId="0" fontId="81" fillId="34" borderId="15" xfId="0" applyFont="1" applyFill="1" applyBorder="1" applyAlignment="1">
      <alignment horizontal="center" vertical="center" wrapText="1"/>
    </xf>
    <xf numFmtId="169" fontId="10" fillId="0" borderId="10" xfId="62" applyFont="1" applyFill="1" applyBorder="1" applyAlignment="1">
      <alignment horizontal="center" vertical="center" wrapText="1"/>
    </xf>
    <xf numFmtId="169" fontId="4" fillId="41" borderId="0" xfId="62" applyFont="1" applyFill="1" applyBorder="1" applyAlignment="1">
      <alignment horizontal="center" vertical="center" wrapText="1"/>
    </xf>
    <xf numFmtId="0" fontId="81" fillId="34" borderId="20" xfId="0" applyFont="1" applyFill="1" applyBorder="1" applyAlignment="1">
      <alignment horizontal="center" vertical="center" wrapText="1"/>
    </xf>
    <xf numFmtId="4" fontId="5" fillId="43" borderId="24" xfId="0" applyNumberFormat="1" applyFont="1" applyFill="1" applyBorder="1" applyAlignment="1">
      <alignment horizontal="center" vertical="center" wrapText="1"/>
    </xf>
    <xf numFmtId="4" fontId="5" fillId="43" borderId="10" xfId="0" applyNumberFormat="1" applyFont="1" applyFill="1" applyBorder="1" applyAlignment="1">
      <alignment horizontal="center" vertical="center" wrapText="1"/>
    </xf>
    <xf numFmtId="169" fontId="81" fillId="3" borderId="10" xfId="62" applyFont="1" applyFill="1" applyBorder="1" applyAlignment="1">
      <alignment horizontal="center" vertical="center"/>
    </xf>
    <xf numFmtId="169" fontId="83" fillId="33" borderId="10" xfId="62" applyFont="1" applyFill="1" applyBorder="1" applyAlignment="1">
      <alignment horizontal="center" vertical="center"/>
    </xf>
    <xf numFmtId="169" fontId="81" fillId="41" borderId="10" xfId="62" applyFont="1" applyFill="1" applyBorder="1" applyAlignment="1">
      <alignment horizontal="center" vertical="center"/>
    </xf>
    <xf numFmtId="169" fontId="81" fillId="40" borderId="10" xfId="62" applyFont="1" applyFill="1" applyBorder="1" applyAlignment="1">
      <alignment horizontal="center" vertical="center"/>
    </xf>
    <xf numFmtId="169" fontId="81" fillId="13" borderId="10" xfId="62" applyFont="1" applyFill="1" applyBorder="1" applyAlignment="1">
      <alignment horizontal="center" vertical="center"/>
    </xf>
    <xf numFmtId="169" fontId="81" fillId="38" borderId="10" xfId="62" applyFont="1" applyFill="1" applyBorder="1" applyAlignment="1">
      <alignment horizontal="center" vertical="center"/>
    </xf>
    <xf numFmtId="0" fontId="81" fillId="0" borderId="10" xfId="0" applyFont="1" applyBorder="1" applyAlignment="1">
      <alignment horizontal="center" vertical="center"/>
    </xf>
    <xf numFmtId="169" fontId="81" fillId="0" borderId="10" xfId="62" applyFont="1" applyBorder="1" applyAlignment="1">
      <alignment horizontal="center" vertical="center"/>
    </xf>
    <xf numFmtId="169" fontId="83" fillId="0" borderId="10" xfId="0" applyNumberFormat="1" applyFont="1" applyBorder="1" applyAlignment="1">
      <alignment horizontal="center" vertical="center"/>
    </xf>
    <xf numFmtId="43" fontId="81" fillId="0" borderId="10" xfId="0" applyNumberFormat="1" applyFont="1" applyBorder="1" applyAlignment="1">
      <alignment horizontal="center" vertical="center"/>
    </xf>
    <xf numFmtId="4" fontId="5" fillId="0" borderId="0" xfId="0" applyNumberFormat="1" applyFont="1" applyFill="1" applyBorder="1" applyAlignment="1">
      <alignment horizontal="center" vertical="center" wrapText="1"/>
    </xf>
    <xf numFmtId="169" fontId="81" fillId="0" borderId="0" xfId="62" applyFont="1" applyFill="1" applyAlignment="1">
      <alignment horizontal="center" vertical="center"/>
    </xf>
    <xf numFmtId="169" fontId="83" fillId="0" borderId="0" xfId="62" applyFont="1" applyFill="1" applyAlignment="1">
      <alignment horizontal="center" vertical="center"/>
    </xf>
    <xf numFmtId="0" fontId="81" fillId="0" borderId="0" xfId="0" applyFont="1" applyFill="1" applyAlignment="1">
      <alignment horizontal="center" vertical="center"/>
    </xf>
    <xf numFmtId="169" fontId="83" fillId="0" borderId="0" xfId="0" applyNumberFormat="1" applyFont="1" applyFill="1" applyAlignment="1">
      <alignment horizontal="center" vertical="center"/>
    </xf>
    <xf numFmtId="43" fontId="81" fillId="0" borderId="0" xfId="0" applyNumberFormat="1" applyFont="1" applyFill="1" applyAlignment="1">
      <alignment horizontal="center" vertical="center"/>
    </xf>
    <xf numFmtId="0" fontId="81" fillId="34" borderId="21" xfId="0" applyFont="1" applyFill="1" applyBorder="1" applyAlignment="1">
      <alignment horizontal="center" vertical="center" wrapText="1"/>
    </xf>
    <xf numFmtId="0" fontId="99" fillId="46" borderId="25" xfId="0" applyFont="1" applyFill="1" applyBorder="1" applyAlignment="1">
      <alignment horizontal="left" vertical="center" wrapText="1" indent="2"/>
    </xf>
    <xf numFmtId="0" fontId="99" fillId="46" borderId="25" xfId="0" applyFont="1" applyFill="1" applyBorder="1" applyAlignment="1">
      <alignment horizontal="left" vertical="center" wrapText="1"/>
    </xf>
    <xf numFmtId="0" fontId="0" fillId="0" borderId="0" xfId="0" applyFont="1" applyAlignment="1">
      <alignment/>
    </xf>
    <xf numFmtId="0" fontId="100" fillId="33" borderId="26" xfId="0" applyFont="1" applyFill="1" applyBorder="1" applyAlignment="1">
      <alignment vertical="top" wrapText="1"/>
    </xf>
    <xf numFmtId="0" fontId="100" fillId="33" borderId="26" xfId="0" applyFont="1" applyFill="1" applyBorder="1" applyAlignment="1">
      <alignment vertical="top"/>
    </xf>
    <xf numFmtId="0" fontId="101" fillId="33" borderId="26" xfId="42" applyFont="1" applyFill="1" applyBorder="1" applyAlignment="1">
      <alignment vertical="top" wrapText="1"/>
    </xf>
    <xf numFmtId="17" fontId="100" fillId="33" borderId="26" xfId="0" applyNumberFormat="1" applyFont="1" applyFill="1" applyBorder="1" applyAlignment="1">
      <alignment vertical="top" wrapText="1"/>
    </xf>
    <xf numFmtId="0" fontId="0" fillId="33" borderId="0" xfId="0" applyFont="1" applyFill="1" applyAlignment="1">
      <alignment/>
    </xf>
    <xf numFmtId="0" fontId="100" fillId="45" borderId="26" xfId="0" applyFont="1" applyFill="1" applyBorder="1" applyAlignment="1">
      <alignment vertical="top" wrapText="1"/>
    </xf>
    <xf numFmtId="0" fontId="100" fillId="45" borderId="26" xfId="0" applyFont="1" applyFill="1" applyBorder="1" applyAlignment="1">
      <alignment vertical="top"/>
    </xf>
    <xf numFmtId="0" fontId="101" fillId="45" borderId="26" xfId="42" applyFont="1" applyFill="1" applyBorder="1" applyAlignment="1">
      <alignment vertical="top" wrapText="1"/>
    </xf>
    <xf numFmtId="0" fontId="101" fillId="45" borderId="26" xfId="42" applyFont="1" applyFill="1" applyBorder="1" applyAlignment="1">
      <alignment vertical="top"/>
    </xf>
    <xf numFmtId="17" fontId="100" fillId="45" borderId="26" xfId="0" applyNumberFormat="1" applyFont="1" applyFill="1" applyBorder="1" applyAlignment="1">
      <alignment vertical="top" wrapText="1"/>
    </xf>
    <xf numFmtId="0" fontId="100" fillId="47" borderId="26" xfId="0" applyFont="1" applyFill="1" applyBorder="1" applyAlignment="1">
      <alignment vertical="top" wrapText="1"/>
    </xf>
    <xf numFmtId="0" fontId="100" fillId="47" borderId="26" xfId="0" applyFont="1" applyFill="1" applyBorder="1" applyAlignment="1">
      <alignment vertical="top"/>
    </xf>
    <xf numFmtId="0" fontId="101" fillId="47" borderId="26" xfId="42" applyFont="1" applyFill="1" applyBorder="1" applyAlignment="1">
      <alignment vertical="top" wrapText="1"/>
    </xf>
    <xf numFmtId="0" fontId="101" fillId="47" borderId="26" xfId="42" applyFont="1" applyFill="1" applyBorder="1" applyAlignment="1">
      <alignment vertical="top"/>
    </xf>
    <xf numFmtId="17" fontId="100" fillId="47" borderId="26" xfId="0" applyNumberFormat="1" applyFont="1" applyFill="1" applyBorder="1" applyAlignment="1">
      <alignment vertical="top" wrapText="1"/>
    </xf>
    <xf numFmtId="0" fontId="101" fillId="33" borderId="26" xfId="42" applyFont="1" applyFill="1" applyBorder="1" applyAlignment="1">
      <alignment vertical="top"/>
    </xf>
    <xf numFmtId="14" fontId="81" fillId="0" borderId="0" xfId="62" applyNumberFormat="1" applyFont="1" applyFill="1" applyAlignment="1">
      <alignment horizontal="center" vertical="center"/>
    </xf>
    <xf numFmtId="0" fontId="81" fillId="2" borderId="21" xfId="0" applyFont="1" applyFill="1" applyBorder="1" applyAlignment="1">
      <alignment horizontal="left" vertical="center" wrapText="1"/>
    </xf>
    <xf numFmtId="169" fontId="81" fillId="11" borderId="0" xfId="62" applyFont="1" applyFill="1" applyAlignment="1">
      <alignment horizontal="center" vertical="center"/>
    </xf>
    <xf numFmtId="0" fontId="81" fillId="11" borderId="0" xfId="0" applyFont="1" applyFill="1" applyAlignment="1">
      <alignment horizontal="center" vertical="center"/>
    </xf>
    <xf numFmtId="0" fontId="102" fillId="0" borderId="0" xfId="0" applyFont="1" applyAlignment="1">
      <alignment/>
    </xf>
    <xf numFmtId="169" fontId="81" fillId="3" borderId="0" xfId="62" applyFont="1" applyFill="1" applyAlignment="1">
      <alignment horizontal="center" vertical="center"/>
    </xf>
    <xf numFmtId="169" fontId="81" fillId="19" borderId="0" xfId="62" applyFont="1" applyFill="1" applyAlignment="1">
      <alignment horizontal="center" vertical="center"/>
    </xf>
    <xf numFmtId="0" fontId="81" fillId="19" borderId="0" xfId="0" applyFont="1" applyFill="1" applyAlignment="1">
      <alignment horizontal="center" vertical="center"/>
    </xf>
    <xf numFmtId="0" fontId="81" fillId="16" borderId="10" xfId="0" applyFont="1" applyFill="1" applyBorder="1" applyAlignment="1">
      <alignment horizontal="left" vertical="center" wrapText="1"/>
    </xf>
    <xf numFmtId="0" fontId="81" fillId="16" borderId="20" xfId="0" applyFont="1" applyFill="1" applyBorder="1" applyAlignment="1">
      <alignment vertical="center" wrapText="1"/>
    </xf>
    <xf numFmtId="0" fontId="81" fillId="16" borderId="10" xfId="0" applyFont="1" applyFill="1" applyBorder="1" applyAlignment="1">
      <alignment horizontal="center" vertical="center" wrapText="1"/>
    </xf>
    <xf numFmtId="0" fontId="81" fillId="16" borderId="0" xfId="0" applyFont="1" applyFill="1" applyAlignment="1">
      <alignment/>
    </xf>
    <xf numFmtId="169" fontId="81" fillId="16" borderId="0" xfId="62" applyFont="1" applyFill="1" applyAlignment="1">
      <alignment horizontal="center" vertical="center"/>
    </xf>
    <xf numFmtId="169" fontId="103" fillId="0" borderId="0" xfId="62" applyFont="1" applyFill="1" applyAlignment="1">
      <alignment horizontal="right" vertical="center"/>
    </xf>
    <xf numFmtId="0" fontId="88" fillId="34" borderId="0" xfId="0" applyFont="1" applyFill="1" applyBorder="1" applyAlignment="1">
      <alignment horizontal="center" vertical="center" wrapText="1"/>
    </xf>
    <xf numFmtId="0" fontId="81" fillId="2" borderId="15" xfId="0" applyFont="1" applyFill="1" applyBorder="1" applyAlignment="1">
      <alignment horizontal="left" vertical="center" wrapText="1"/>
    </xf>
    <xf numFmtId="0" fontId="81" fillId="38" borderId="15" xfId="0" applyFont="1" applyFill="1" applyBorder="1" applyAlignment="1">
      <alignment horizontal="center" vertical="center" wrapText="1"/>
    </xf>
    <xf numFmtId="169" fontId="103" fillId="0" borderId="0" xfId="62" applyFont="1" applyFill="1" applyAlignment="1">
      <alignment horizontal="left" vertical="center"/>
    </xf>
    <xf numFmtId="14" fontId="81" fillId="0" borderId="0" xfId="62" applyNumberFormat="1" applyFont="1" applyFill="1" applyAlignment="1">
      <alignment vertical="center" wrapText="1"/>
    </xf>
    <xf numFmtId="169" fontId="104" fillId="0" borderId="10" xfId="62" applyFont="1" applyFill="1" applyBorder="1" applyAlignment="1">
      <alignment horizontal="center" vertical="center" wrapText="1"/>
    </xf>
    <xf numFmtId="49" fontId="104" fillId="0" borderId="0" xfId="0" applyNumberFormat="1" applyFont="1" applyFill="1" applyBorder="1" applyAlignment="1">
      <alignment horizontal="left" vertical="center" wrapText="1"/>
    </xf>
    <xf numFmtId="0" fontId="86" fillId="0" borderId="10" xfId="0" applyFont="1" applyFill="1" applyBorder="1" applyAlignment="1">
      <alignment horizontal="center" vertical="center"/>
    </xf>
    <xf numFmtId="0" fontId="81"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6" fillId="0" borderId="0" xfId="0" applyFont="1" applyFill="1" applyBorder="1" applyAlignment="1">
      <alignment vertical="center"/>
    </xf>
    <xf numFmtId="0" fontId="0" fillId="0" borderId="0" xfId="0" applyAlignment="1">
      <alignment vertical="center"/>
    </xf>
    <xf numFmtId="0" fontId="10" fillId="0" borderId="13" xfId="0" applyFont="1" applyFill="1" applyBorder="1" applyAlignment="1">
      <alignment vertical="center" wrapText="1"/>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wrapText="1"/>
    </xf>
    <xf numFmtId="0" fontId="10"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1" fillId="0" borderId="15" xfId="0" applyFont="1" applyFill="1" applyBorder="1" applyAlignment="1">
      <alignment horizontal="center" vertical="center" wrapText="1"/>
    </xf>
    <xf numFmtId="0" fontId="4" fillId="0" borderId="10" xfId="0" applyFont="1" applyFill="1" applyBorder="1" applyAlignment="1">
      <alignment vertical="center" wrapText="1"/>
    </xf>
    <xf numFmtId="172" fontId="105" fillId="0" borderId="10" xfId="0" applyNumberFormat="1" applyFont="1" applyFill="1" applyBorder="1" applyAlignment="1">
      <alignment horizontal="center" vertical="center" wrapText="1"/>
    </xf>
    <xf numFmtId="173" fontId="105" fillId="0" borderId="10"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174" fontId="86"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173" fontId="106" fillId="0" borderId="10" xfId="0" applyNumberFormat="1" applyFont="1" applyFill="1" applyBorder="1" applyAlignment="1">
      <alignment horizontal="center" vertical="center" wrapText="1"/>
    </xf>
    <xf numFmtId="172" fontId="10" fillId="0" borderId="0" xfId="0" applyNumberFormat="1" applyFont="1" applyFill="1" applyAlignment="1">
      <alignment vertical="center"/>
    </xf>
    <xf numFmtId="172" fontId="106"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15" fillId="0" borderId="10" xfId="0" applyNumberFormat="1" applyFont="1" applyFill="1" applyBorder="1" applyAlignment="1">
      <alignment horizontal="center" vertical="center" wrapText="1"/>
    </xf>
    <xf numFmtId="0" fontId="106" fillId="0" borderId="12" xfId="0" applyFont="1" applyFill="1" applyBorder="1" applyAlignment="1">
      <alignment vertical="center" wrapText="1"/>
    </xf>
    <xf numFmtId="0" fontId="10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2" fontId="105"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74" fontId="13" fillId="0" borderId="0" xfId="0" applyNumberFormat="1" applyFont="1" applyFill="1" applyBorder="1" applyAlignment="1">
      <alignment vertical="center"/>
    </xf>
    <xf numFmtId="0" fontId="7" fillId="0" borderId="0" xfId="0" applyFont="1" applyFill="1" applyAlignment="1">
      <alignment horizontal="left" vertical="center"/>
    </xf>
    <xf numFmtId="173" fontId="4" fillId="35" borderId="10" xfId="0" applyNumberFormat="1" applyFont="1" applyFill="1" applyBorder="1" applyAlignment="1">
      <alignment horizontal="center" vertical="center" wrapText="1"/>
    </xf>
    <xf numFmtId="0" fontId="86" fillId="0" borderId="15" xfId="0" applyFont="1" applyFill="1" applyBorder="1" applyAlignment="1">
      <alignment horizontal="center" vertical="center" wrapText="1"/>
    </xf>
    <xf numFmtId="0" fontId="10" fillId="0" borderId="21" xfId="0" applyFont="1" applyFill="1" applyBorder="1" applyAlignment="1" quotePrefix="1">
      <alignment horizontal="center" vertical="center"/>
    </xf>
    <xf numFmtId="173" fontId="86" fillId="0" borderId="21" xfId="0" applyNumberFormat="1" applyFont="1" applyFill="1" applyBorder="1" applyAlignment="1">
      <alignment horizontal="center" vertical="center" wrapText="1"/>
    </xf>
    <xf numFmtId="173" fontId="86" fillId="35" borderId="21" xfId="0" applyNumberFormat="1" applyFont="1" applyFill="1" applyBorder="1" applyAlignment="1">
      <alignment horizontal="center"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174" fontId="86" fillId="0" borderId="10" xfId="0" applyNumberFormat="1" applyFont="1" applyFill="1" applyBorder="1" applyAlignment="1">
      <alignment horizontal="right" vertical="center" wrapText="1"/>
    </xf>
    <xf numFmtId="174" fontId="85" fillId="36" borderId="10" xfId="0" applyNumberFormat="1" applyFont="1" applyFill="1" applyBorder="1" applyAlignment="1">
      <alignment horizontal="center" vertical="center" wrapText="1"/>
    </xf>
    <xf numFmtId="174" fontId="85" fillId="36" borderId="10" xfId="0" applyNumberFormat="1" applyFont="1" applyFill="1" applyBorder="1" applyAlignment="1">
      <alignment horizontal="right" vertical="center" wrapText="1"/>
    </xf>
    <xf numFmtId="173" fontId="85" fillId="35" borderId="10" xfId="0" applyNumberFormat="1" applyFont="1" applyFill="1" applyBorder="1" applyAlignment="1">
      <alignment horizontal="right" vertical="center" wrapText="1"/>
    </xf>
    <xf numFmtId="0" fontId="86" fillId="0" borderId="11" xfId="0" applyFont="1" applyFill="1" applyBorder="1" applyAlignment="1">
      <alignment horizontal="left" vertical="center" wrapText="1"/>
    </xf>
    <xf numFmtId="0" fontId="85" fillId="0" borderId="0" xfId="0" applyFont="1" applyFill="1" applyBorder="1" applyAlignment="1">
      <alignment vertical="center" wrapText="1"/>
    </xf>
    <xf numFmtId="0" fontId="85" fillId="0" borderId="11" xfId="0" applyFont="1" applyFill="1" applyBorder="1" applyAlignment="1">
      <alignment vertical="center" wrapText="1"/>
    </xf>
    <xf numFmtId="0" fontId="85" fillId="0" borderId="0" xfId="0" applyFont="1" applyFill="1" applyBorder="1" applyAlignment="1">
      <alignment vertical="center"/>
    </xf>
    <xf numFmtId="0" fontId="86" fillId="0" borderId="10" xfId="0" applyFont="1" applyFill="1" applyBorder="1" applyAlignment="1">
      <alignment horizontal="left" vertical="center" wrapText="1"/>
    </xf>
    <xf numFmtId="0" fontId="86" fillId="0" borderId="10" xfId="0" applyFont="1" applyFill="1" applyBorder="1" applyAlignment="1" quotePrefix="1">
      <alignment horizontal="center" vertical="center"/>
    </xf>
    <xf numFmtId="49" fontId="86" fillId="0" borderId="10" xfId="0" applyNumberFormat="1" applyFont="1" applyFill="1" applyBorder="1" applyAlignment="1">
      <alignment horizontal="left" vertical="center" wrapText="1"/>
    </xf>
    <xf numFmtId="0" fontId="87" fillId="0" borderId="10" xfId="0" applyFont="1" applyFill="1" applyBorder="1" applyAlignment="1">
      <alignment horizontal="left" vertical="center" wrapText="1"/>
    </xf>
    <xf numFmtId="0" fontId="87" fillId="0" borderId="10" xfId="0" applyFont="1" applyFill="1" applyBorder="1" applyAlignment="1" quotePrefix="1">
      <alignment horizontal="center" vertical="center"/>
    </xf>
    <xf numFmtId="173" fontId="4" fillId="36" borderId="10" xfId="0" applyNumberFormat="1" applyFont="1" applyFill="1" applyBorder="1" applyAlignment="1">
      <alignment horizontal="center" vertical="center" wrapText="1"/>
    </xf>
    <xf numFmtId="0" fontId="86" fillId="0" borderId="0" xfId="0" applyFont="1" applyFill="1" applyAlignment="1">
      <alignment vertical="center"/>
    </xf>
    <xf numFmtId="0" fontId="87" fillId="0" borderId="10" xfId="0" applyFont="1" applyFill="1" applyBorder="1" applyAlignment="1">
      <alignment horizontal="center" vertical="center" wrapText="1"/>
    </xf>
    <xf numFmtId="186" fontId="86" fillId="0" borderId="10" xfId="0" applyNumberFormat="1" applyFont="1" applyFill="1" applyBorder="1" applyAlignment="1">
      <alignment horizontal="center" vertical="center" wrapText="1"/>
    </xf>
    <xf numFmtId="172" fontId="86" fillId="0" borderId="0" xfId="0" applyNumberFormat="1" applyFont="1" applyFill="1" applyAlignment="1">
      <alignment vertical="center"/>
    </xf>
    <xf numFmtId="173" fontId="10" fillId="36"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xf>
    <xf numFmtId="173" fontId="4" fillId="0" borderId="12" xfId="0" applyNumberFormat="1" applyFont="1" applyFill="1" applyBorder="1" applyAlignment="1">
      <alignment vertical="center" wrapText="1"/>
    </xf>
    <xf numFmtId="173" fontId="85" fillId="0" borderId="12" xfId="0" applyNumberFormat="1" applyFont="1" applyFill="1" applyBorder="1" applyAlignment="1">
      <alignment vertical="center" wrapText="1"/>
    </xf>
    <xf numFmtId="173" fontId="85" fillId="0" borderId="13" xfId="0" applyNumberFormat="1" applyFont="1" applyFill="1" applyBorder="1" applyAlignment="1">
      <alignment vertical="center" wrapText="1"/>
    </xf>
    <xf numFmtId="0" fontId="85" fillId="0" borderId="10" xfId="0" applyFont="1" applyFill="1" applyBorder="1" applyAlignment="1">
      <alignment horizontal="left" vertical="center" wrapText="1"/>
    </xf>
    <xf numFmtId="0" fontId="86" fillId="0" borderId="10" xfId="0" applyNumberFormat="1" applyFont="1" applyFill="1" applyBorder="1" applyAlignment="1" quotePrefix="1">
      <alignment horizontal="center" vertical="center" wrapText="1"/>
    </xf>
    <xf numFmtId="0" fontId="87" fillId="0" borderId="10" xfId="0" applyNumberFormat="1" applyFont="1" applyFill="1" applyBorder="1" applyAlignment="1">
      <alignment horizontal="center" vertical="center" wrapText="1"/>
    </xf>
    <xf numFmtId="0" fontId="87" fillId="0" borderId="10" xfId="0" applyNumberFormat="1" applyFont="1" applyFill="1" applyBorder="1" applyAlignment="1" quotePrefix="1">
      <alignment horizontal="center" vertical="center" wrapText="1"/>
    </xf>
    <xf numFmtId="0" fontId="86" fillId="0" borderId="10" xfId="0" applyNumberFormat="1" applyFont="1" applyFill="1" applyBorder="1" applyAlignment="1">
      <alignment horizontal="center" vertical="center"/>
    </xf>
    <xf numFmtId="0" fontId="87" fillId="0" borderId="10" xfId="0" applyNumberFormat="1" applyFont="1" applyFill="1" applyBorder="1" applyAlignment="1">
      <alignment horizontal="center" vertical="center"/>
    </xf>
    <xf numFmtId="0" fontId="85" fillId="0" borderId="10" xfId="0" applyFont="1" applyFill="1" applyBorder="1" applyAlignment="1" quotePrefix="1">
      <alignment horizontal="center" vertical="center"/>
    </xf>
    <xf numFmtId="173" fontId="4" fillId="37" borderId="10" xfId="0" applyNumberFormat="1" applyFont="1" applyFill="1" applyBorder="1" applyAlignment="1">
      <alignment horizontal="center" vertical="center" wrapText="1"/>
    </xf>
    <xf numFmtId="49" fontId="86" fillId="0" borderId="0" xfId="0" applyNumberFormat="1"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0" xfId="0" applyFont="1" applyFill="1" applyBorder="1" applyAlignment="1" quotePrefix="1">
      <alignment horizontal="center" vertical="center"/>
    </xf>
    <xf numFmtId="174" fontId="86" fillId="0" borderId="0" xfId="0" applyNumberFormat="1" applyFont="1" applyFill="1" applyBorder="1" applyAlignment="1">
      <alignment horizontal="center" vertical="center" wrapText="1"/>
    </xf>
    <xf numFmtId="0" fontId="107" fillId="0" borderId="0" xfId="0" applyFont="1" applyFill="1" applyBorder="1" applyAlignment="1">
      <alignment horizontal="left" vertical="center" wrapText="1"/>
    </xf>
    <xf numFmtId="0" fontId="88" fillId="0" borderId="0" xfId="0" applyFont="1" applyFill="1" applyBorder="1" applyAlignment="1">
      <alignment horizontal="left" vertical="center"/>
    </xf>
    <xf numFmtId="0" fontId="88" fillId="0" borderId="0" xfId="0" applyFont="1" applyFill="1" applyBorder="1" applyAlignment="1">
      <alignment vertical="center"/>
    </xf>
    <xf numFmtId="0" fontId="88" fillId="0" borderId="0" xfId="0" applyFont="1" applyFill="1" applyAlignment="1">
      <alignment vertical="center"/>
    </xf>
    <xf numFmtId="0" fontId="86" fillId="0" borderId="0" xfId="0" applyFont="1" applyFill="1" applyBorder="1" applyAlignment="1">
      <alignment vertical="center" wrapText="1"/>
    </xf>
    <xf numFmtId="173" fontId="10" fillId="0" borderId="21" xfId="0" applyNumberFormat="1" applyFont="1" applyFill="1" applyBorder="1" applyAlignment="1">
      <alignment horizontal="center" vertical="center" wrapText="1"/>
    </xf>
    <xf numFmtId="173" fontId="10" fillId="2" borderId="21" xfId="0" applyNumberFormat="1" applyFont="1" applyFill="1" applyBorder="1" applyAlignment="1">
      <alignment horizontal="center" vertical="center" wrapText="1"/>
    </xf>
    <xf numFmtId="173" fontId="86" fillId="2" borderId="21" xfId="0" applyNumberFormat="1" applyFont="1" applyFill="1" applyBorder="1" applyAlignment="1">
      <alignment horizontal="center" vertical="center" wrapText="1"/>
    </xf>
    <xf numFmtId="173" fontId="86" fillId="2" borderId="10" xfId="0" applyNumberFormat="1" applyFont="1" applyFill="1" applyBorder="1" applyAlignment="1">
      <alignment horizontal="center" vertical="center" wrapText="1"/>
    </xf>
    <xf numFmtId="174" fontId="86" fillId="2" borderId="10" xfId="0" applyNumberFormat="1" applyFont="1" applyFill="1" applyBorder="1" applyAlignment="1">
      <alignment horizontal="right" vertical="center" wrapText="1"/>
    </xf>
    <xf numFmtId="0" fontId="81" fillId="34" borderId="11" xfId="0" applyFont="1" applyFill="1" applyBorder="1" applyAlignment="1">
      <alignment horizontal="left" vertical="center" wrapText="1"/>
    </xf>
    <xf numFmtId="0" fontId="81" fillId="34" borderId="13" xfId="0" applyFont="1" applyFill="1" applyBorder="1" applyAlignment="1">
      <alignment horizontal="left" vertical="center" wrapText="1"/>
    </xf>
    <xf numFmtId="0" fontId="85" fillId="0" borderId="0" xfId="0" applyFont="1" applyAlignment="1">
      <alignment horizontal="center"/>
    </xf>
    <xf numFmtId="0" fontId="86" fillId="0" borderId="0" xfId="0" applyFont="1" applyAlignment="1">
      <alignment horizontal="center"/>
    </xf>
    <xf numFmtId="0" fontId="81" fillId="0" borderId="0" xfId="0" applyFont="1" applyAlignment="1">
      <alignment horizontal="left" vertical="center"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81" fillId="0" borderId="11" xfId="0" applyFont="1" applyBorder="1" applyAlignment="1">
      <alignment horizontal="left"/>
    </xf>
    <xf numFmtId="0" fontId="81" fillId="0" borderId="13" xfId="0" applyFont="1" applyBorder="1" applyAlignment="1">
      <alignment horizontal="left"/>
    </xf>
    <xf numFmtId="0" fontId="96" fillId="45" borderId="15" xfId="0" applyFont="1" applyFill="1" applyBorder="1" applyAlignment="1">
      <alignment horizontal="center" vertical="center" wrapText="1"/>
    </xf>
    <xf numFmtId="0" fontId="96" fillId="45" borderId="20" xfId="0" applyFont="1" applyFill="1" applyBorder="1" applyAlignment="1">
      <alignment horizontal="center" vertical="center" wrapText="1"/>
    </xf>
    <xf numFmtId="0" fontId="96" fillId="45" borderId="29" xfId="0" applyFont="1" applyFill="1" applyBorder="1" applyAlignment="1">
      <alignment horizontal="center" vertical="center" wrapText="1"/>
    </xf>
    <xf numFmtId="0" fontId="81" fillId="39" borderId="0" xfId="0" applyFont="1" applyFill="1" applyAlignment="1">
      <alignment horizontal="left" vertical="center" wrapText="1"/>
    </xf>
    <xf numFmtId="0" fontId="81" fillId="34" borderId="30"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81" fillId="34" borderId="21"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6" fillId="0" borderId="11" xfId="0" applyFont="1" applyFill="1" applyBorder="1" applyAlignment="1">
      <alignment horizontal="center" vertical="center"/>
    </xf>
    <xf numFmtId="0" fontId="86" fillId="0" borderId="13" xfId="0" applyFont="1" applyFill="1" applyBorder="1" applyAlignment="1">
      <alignment horizontal="center" vertical="center"/>
    </xf>
    <xf numFmtId="0" fontId="10" fillId="0" borderId="0" xfId="0" applyFont="1" applyFill="1" applyBorder="1" applyAlignment="1">
      <alignment horizontal="left" vertical="center" wrapText="1"/>
    </xf>
    <xf numFmtId="0" fontId="86"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169" fontId="15" fillId="0" borderId="0" xfId="62" applyFont="1" applyFill="1" applyBorder="1" applyAlignment="1">
      <alignment horizontal="center" vertical="center"/>
    </xf>
    <xf numFmtId="0" fontId="4" fillId="0" borderId="11" xfId="0" applyFont="1" applyFill="1" applyBorder="1" applyAlignment="1">
      <alignment horizontal="left" vertical="center" wrapText="1"/>
    </xf>
    <xf numFmtId="0" fontId="10"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4" fontId="10" fillId="0" borderId="0" xfId="0" applyNumberFormat="1" applyFont="1" applyFill="1" applyBorder="1" applyAlignment="1">
      <alignment horizontal="left" vertical="center" wrapText="1"/>
    </xf>
    <xf numFmtId="0" fontId="86" fillId="0" borderId="27" xfId="0" applyFont="1" applyFill="1" applyBorder="1" applyAlignment="1">
      <alignment horizontal="center" vertical="center"/>
    </xf>
    <xf numFmtId="0" fontId="7" fillId="0" borderId="0" xfId="0" applyFont="1" applyFill="1" applyBorder="1" applyAlignment="1">
      <alignment horizontal="left" vertical="center"/>
    </xf>
    <xf numFmtId="0" fontId="88" fillId="0" borderId="0" xfId="0" applyFont="1" applyFill="1" applyAlignment="1">
      <alignment horizontal="center" vertical="center"/>
    </xf>
    <xf numFmtId="0" fontId="86" fillId="0" borderId="0" xfId="0" applyFont="1" applyFill="1" applyBorder="1" applyAlignment="1">
      <alignment vertical="center"/>
    </xf>
    <xf numFmtId="0" fontId="0" fillId="0" borderId="0" xfId="0" applyAlignment="1">
      <alignment vertical="center"/>
    </xf>
    <xf numFmtId="0" fontId="10" fillId="0" borderId="15" xfId="0" applyFont="1" applyFill="1" applyBorder="1" applyAlignment="1">
      <alignment horizontal="center" vertical="center"/>
    </xf>
    <xf numFmtId="0" fontId="10" fillId="0" borderId="21" xfId="0" applyFont="1" applyFill="1" applyBorder="1" applyAlignment="1">
      <alignment horizontal="center" vertical="center"/>
    </xf>
    <xf numFmtId="0" fontId="7" fillId="36" borderId="11"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3" fillId="0" borderId="10" xfId="54" applyFont="1" applyFill="1" applyBorder="1" applyAlignment="1">
      <alignment horizontal="center" vertical="center"/>
      <protection/>
    </xf>
    <xf numFmtId="0" fontId="10" fillId="0" borderId="1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86" fillId="0" borderId="15" xfId="0" applyFont="1" applyFill="1" applyBorder="1" applyAlignment="1">
      <alignment horizontal="center" vertical="center" wrapText="1"/>
    </xf>
    <xf numFmtId="0" fontId="86" fillId="0" borderId="21" xfId="0" applyFont="1" applyFill="1" applyBorder="1" applyAlignment="1">
      <alignment horizontal="center" vertical="center" wrapText="1"/>
    </xf>
    <xf numFmtId="174" fontId="86" fillId="0" borderId="0" xfId="0" applyNumberFormat="1" applyFont="1" applyFill="1" applyBorder="1" applyAlignment="1">
      <alignment horizontal="left" vertical="center" wrapText="1"/>
    </xf>
    <xf numFmtId="0" fontId="88" fillId="0" borderId="0" xfId="0" applyFont="1" applyFill="1" applyBorder="1" applyAlignment="1">
      <alignment horizontal="left" vertical="center"/>
    </xf>
    <xf numFmtId="0" fontId="88" fillId="0" borderId="31" xfId="0" applyFont="1" applyFill="1" applyBorder="1" applyAlignment="1">
      <alignment horizontal="center" vertical="center"/>
    </xf>
    <xf numFmtId="0" fontId="85" fillId="0" borderId="0" xfId="0" applyFont="1" applyFill="1" applyBorder="1" applyAlignment="1">
      <alignment horizontal="center" vertical="center" wrapText="1"/>
    </xf>
    <xf numFmtId="0" fontId="86" fillId="0" borderId="15" xfId="0" applyFont="1" applyFill="1" applyBorder="1" applyAlignment="1">
      <alignment horizontal="center" vertical="center"/>
    </xf>
    <xf numFmtId="0" fontId="86" fillId="0" borderId="21" xfId="0" applyFont="1" applyFill="1" applyBorder="1" applyAlignment="1">
      <alignment horizontal="center" vertical="center"/>
    </xf>
    <xf numFmtId="0" fontId="81" fillId="0" borderId="15"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1" fillId="0" borderId="10" xfId="54" applyFont="1" applyFill="1" applyBorder="1" applyAlignment="1">
      <alignment horizontal="center" vertical="center"/>
      <protection/>
    </xf>
    <xf numFmtId="0" fontId="86" fillId="0" borderId="12" xfId="0" applyFont="1" applyFill="1" applyBorder="1" applyAlignment="1">
      <alignment horizontal="center" vertical="center" wrapText="1"/>
    </xf>
    <xf numFmtId="0" fontId="86" fillId="0" borderId="13" xfId="0" applyFont="1" applyFill="1" applyBorder="1" applyAlignment="1">
      <alignment horizontal="left" vertical="center" wrapText="1"/>
    </xf>
    <xf numFmtId="49" fontId="86" fillId="0" borderId="12" xfId="0" applyNumberFormat="1" applyFont="1" applyFill="1" applyBorder="1" applyAlignment="1">
      <alignment horizontal="center" vertical="center" wrapText="1"/>
    </xf>
    <xf numFmtId="0" fontId="85" fillId="0" borderId="0" xfId="0" applyFont="1" applyFill="1" applyBorder="1" applyAlignment="1">
      <alignment horizontal="center" vertical="center"/>
    </xf>
    <xf numFmtId="0" fontId="86" fillId="0" borderId="27" xfId="0" applyFont="1" applyFill="1" applyBorder="1" applyAlignment="1">
      <alignment horizontal="left" vertical="center" wrapText="1"/>
    </xf>
    <xf numFmtId="0" fontId="81" fillId="0" borderId="12" xfId="0" applyFont="1" applyFill="1" applyBorder="1" applyAlignment="1">
      <alignment horizontal="left" vertical="center" wrapText="1"/>
    </xf>
    <xf numFmtId="0" fontId="108" fillId="0" borderId="12" xfId="0" applyFont="1" applyFill="1" applyBorder="1" applyAlignment="1">
      <alignment horizontal="left" vertical="center" wrapText="1"/>
    </xf>
    <xf numFmtId="0" fontId="12" fillId="0" borderId="27"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81" fillId="2" borderId="15" xfId="0" applyFont="1" applyFill="1" applyBorder="1" applyAlignment="1">
      <alignment horizontal="left" vertical="center" wrapText="1"/>
    </xf>
    <xf numFmtId="0" fontId="81" fillId="2" borderId="20" xfId="0" applyFont="1" applyFill="1" applyBorder="1" applyAlignment="1">
      <alignment horizontal="left" vertical="center" wrapText="1"/>
    </xf>
    <xf numFmtId="0" fontId="81" fillId="2" borderId="21" xfId="0" applyFont="1" applyFill="1" applyBorder="1" applyAlignment="1">
      <alignment horizontal="left" vertical="center" wrapText="1"/>
    </xf>
    <xf numFmtId="14" fontId="81" fillId="0" borderId="0" xfId="62" applyNumberFormat="1" applyFont="1" applyFill="1" applyAlignment="1">
      <alignment horizontal="center" vertical="center" wrapText="1"/>
    </xf>
    <xf numFmtId="0" fontId="81" fillId="38" borderId="15" xfId="0" applyFont="1" applyFill="1" applyBorder="1" applyAlignment="1">
      <alignment horizontal="center" vertical="center" wrapText="1"/>
    </xf>
    <xf numFmtId="0" fontId="81" fillId="38" borderId="20" xfId="0" applyFont="1" applyFill="1" applyBorder="1" applyAlignment="1">
      <alignment horizontal="center" vertical="center" wrapText="1"/>
    </xf>
    <xf numFmtId="0" fontId="81" fillId="38" borderId="21" xfId="0" applyFont="1" applyFill="1" applyBorder="1" applyAlignment="1">
      <alignment horizontal="center" vertical="center" wrapText="1"/>
    </xf>
    <xf numFmtId="0" fontId="81" fillId="0" borderId="15" xfId="0" applyFont="1" applyFill="1" applyBorder="1" applyAlignment="1">
      <alignment horizontal="left" vertical="center" wrapText="1"/>
    </xf>
    <xf numFmtId="0" fontId="81" fillId="0" borderId="21" xfId="0" applyFont="1" applyFill="1" applyBorder="1" applyAlignment="1">
      <alignment horizontal="left" vertical="center" wrapText="1"/>
    </xf>
    <xf numFmtId="169" fontId="81" fillId="3" borderId="0" xfId="62" applyFont="1" applyFill="1" applyAlignment="1">
      <alignment horizontal="center" vertical="center"/>
    </xf>
    <xf numFmtId="0" fontId="81" fillId="0" borderId="2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1060;&#1110;&#1085;&#1087;&#1083;&#1072;&#1085;\&#1047;&#1074;&#1110;&#1090;%20&#1060;&#1055;%20(&#1076;&#1086;%2020.0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Фін план (2019)"/>
      <sheetName val="I. Фін план (2018)"/>
      <sheetName val="Фін план (2019) 4"/>
      <sheetName val="фактичні 3кв"/>
      <sheetName val="касові 3кв"/>
      <sheetName val="фактичні 2018 рік"/>
      <sheetName val="Лист1"/>
      <sheetName val="Звіт за рік 2019"/>
    </sheetNames>
    <sheetDataSet>
      <sheetData sheetId="1">
        <row r="36">
          <cell r="E36">
            <v>0</v>
          </cell>
        </row>
        <row r="38">
          <cell r="E38">
            <v>500</v>
          </cell>
        </row>
        <row r="39">
          <cell r="E39">
            <v>0</v>
          </cell>
        </row>
        <row r="40">
          <cell r="E40">
            <v>223.5</v>
          </cell>
        </row>
        <row r="43">
          <cell r="E43">
            <v>-265</v>
          </cell>
        </row>
        <row r="44">
          <cell r="E44">
            <v>-116</v>
          </cell>
        </row>
        <row r="45">
          <cell r="E45">
            <v>-167.8</v>
          </cell>
        </row>
        <row r="47">
          <cell r="E47">
            <v>-278.95</v>
          </cell>
        </row>
        <row r="48">
          <cell r="E48">
            <v>-4.05</v>
          </cell>
        </row>
        <row r="49">
          <cell r="E49">
            <v>-16.3</v>
          </cell>
        </row>
        <row r="50">
          <cell r="E50">
            <v>-202</v>
          </cell>
        </row>
        <row r="51">
          <cell r="E51">
            <v>-486.61</v>
          </cell>
        </row>
        <row r="52">
          <cell r="E52">
            <v>-6614.18</v>
          </cell>
        </row>
        <row r="53">
          <cell r="E53">
            <v>-1455.28</v>
          </cell>
        </row>
        <row r="54">
          <cell r="E54">
            <v>-129</v>
          </cell>
        </row>
        <row r="55">
          <cell r="E55">
            <v>-27.5</v>
          </cell>
        </row>
        <row r="56">
          <cell r="E56">
            <v>-223.5</v>
          </cell>
        </row>
        <row r="57">
          <cell r="E57">
            <v>-100</v>
          </cell>
        </row>
        <row r="58">
          <cell r="E58">
            <v>0</v>
          </cell>
        </row>
        <row r="59">
          <cell r="E59">
            <v>-0.87</v>
          </cell>
        </row>
        <row r="61">
          <cell r="E61">
            <v>-27</v>
          </cell>
        </row>
        <row r="62">
          <cell r="E62">
            <v>-38.300000000000004</v>
          </cell>
        </row>
        <row r="63">
          <cell r="E63">
            <v>-16</v>
          </cell>
        </row>
        <row r="64">
          <cell r="E64">
            <v>-1312.07</v>
          </cell>
        </row>
        <row r="65">
          <cell r="E65">
            <v>-288.64</v>
          </cell>
        </row>
        <row r="66">
          <cell r="E66">
            <v>-13.200000000000001</v>
          </cell>
        </row>
        <row r="67">
          <cell r="E67">
            <v>-1.1</v>
          </cell>
        </row>
        <row r="68">
          <cell r="E68">
            <v>-34.2</v>
          </cell>
        </row>
        <row r="69">
          <cell r="E69">
            <v>-2.5</v>
          </cell>
        </row>
        <row r="70">
          <cell r="E70">
            <v>0</v>
          </cell>
        </row>
        <row r="71">
          <cell r="E71">
            <v>-14.84</v>
          </cell>
        </row>
        <row r="73">
          <cell r="E73">
            <v>0</v>
          </cell>
        </row>
        <row r="74">
          <cell r="E74">
            <v>0</v>
          </cell>
        </row>
        <row r="75">
          <cell r="E75">
            <v>-15</v>
          </cell>
        </row>
        <row r="85">
          <cell r="E85">
            <v>0</v>
          </cell>
        </row>
        <row r="87">
          <cell r="E87">
            <v>0</v>
          </cell>
        </row>
        <row r="88">
          <cell r="E88">
            <v>-310.02</v>
          </cell>
        </row>
        <row r="89">
          <cell r="E89">
            <v>0</v>
          </cell>
        </row>
        <row r="90">
          <cell r="E90">
            <v>0</v>
          </cell>
        </row>
        <row r="91">
          <cell r="E91">
            <v>0</v>
          </cell>
        </row>
        <row r="92">
          <cell r="E92">
            <v>0</v>
          </cell>
        </row>
      </sheetData>
      <sheetData sheetId="2">
        <row r="36">
          <cell r="F36">
            <v>553.72214</v>
          </cell>
        </row>
        <row r="38">
          <cell r="F38">
            <v>0</v>
          </cell>
        </row>
        <row r="39">
          <cell r="F39">
            <v>0</v>
          </cell>
        </row>
        <row r="40">
          <cell r="F40">
            <v>0</v>
          </cell>
        </row>
        <row r="43">
          <cell r="F43">
            <v>-571.896</v>
          </cell>
        </row>
        <row r="44">
          <cell r="F44">
            <v>-879.9547</v>
          </cell>
        </row>
        <row r="45">
          <cell r="F45">
            <v>-256.5</v>
          </cell>
        </row>
        <row r="47">
          <cell r="F47">
            <v>-300</v>
          </cell>
        </row>
        <row r="48">
          <cell r="F48">
            <v>-15.899999999999999</v>
          </cell>
        </row>
        <row r="49">
          <cell r="F49">
            <v>-49.5</v>
          </cell>
        </row>
        <row r="50">
          <cell r="F50">
            <v>-200</v>
          </cell>
        </row>
        <row r="51">
          <cell r="F51">
            <v>-891.565</v>
          </cell>
        </row>
        <row r="52">
          <cell r="F52">
            <v>-19326.61261</v>
          </cell>
        </row>
        <row r="53">
          <cell r="F53">
            <v>-4239.999999999999</v>
          </cell>
        </row>
        <row r="54">
          <cell r="F54">
            <v>-36</v>
          </cell>
        </row>
        <row r="55">
          <cell r="F55">
            <v>-7.5</v>
          </cell>
        </row>
        <row r="56">
          <cell r="F56">
            <v>0</v>
          </cell>
        </row>
        <row r="57">
          <cell r="F57">
            <v>-391.435</v>
          </cell>
        </row>
        <row r="58">
          <cell r="F58">
            <v>0</v>
          </cell>
        </row>
        <row r="59">
          <cell r="F59">
            <v>-2.8</v>
          </cell>
        </row>
        <row r="61">
          <cell r="F61">
            <v>-11</v>
          </cell>
        </row>
        <row r="62">
          <cell r="F62">
            <v>-80</v>
          </cell>
        </row>
        <row r="63">
          <cell r="F63">
            <v>-4</v>
          </cell>
        </row>
        <row r="64">
          <cell r="F64">
            <v>-3549.99981</v>
          </cell>
        </row>
        <row r="65">
          <cell r="F65">
            <v>-780.0000000000001</v>
          </cell>
        </row>
        <row r="66">
          <cell r="F66">
            <v>-115</v>
          </cell>
        </row>
        <row r="67">
          <cell r="F67">
            <v>-3.1999999999999997</v>
          </cell>
        </row>
        <row r="68">
          <cell r="F68">
            <v>-35</v>
          </cell>
        </row>
        <row r="69">
          <cell r="F69">
            <v>-24.5</v>
          </cell>
        </row>
        <row r="70">
          <cell r="F70">
            <v>0</v>
          </cell>
        </row>
        <row r="71">
          <cell r="F71">
            <v>-47.2</v>
          </cell>
        </row>
        <row r="73">
          <cell r="F73">
            <v>0</v>
          </cell>
        </row>
        <row r="74">
          <cell r="F74">
            <v>0</v>
          </cell>
        </row>
        <row r="75">
          <cell r="F75">
            <v>-30</v>
          </cell>
        </row>
        <row r="85">
          <cell r="F85">
            <v>-1751.3916100000001</v>
          </cell>
        </row>
        <row r="87">
          <cell r="F87">
            <v>0</v>
          </cell>
        </row>
        <row r="88">
          <cell r="F88">
            <v>-192.816</v>
          </cell>
        </row>
        <row r="89">
          <cell r="F89">
            <v>0</v>
          </cell>
        </row>
        <row r="90">
          <cell r="F90">
            <v>0</v>
          </cell>
        </row>
        <row r="91">
          <cell r="F91">
            <v>0</v>
          </cell>
        </row>
        <row r="92">
          <cell r="F92">
            <v>-359.98400000000004</v>
          </cell>
        </row>
        <row r="95">
          <cell r="F95">
            <v>3.3656</v>
          </cell>
        </row>
        <row r="96">
          <cell r="F96">
            <v>503.728</v>
          </cell>
        </row>
        <row r="97">
          <cell r="F97">
            <v>10.22854</v>
          </cell>
        </row>
        <row r="98">
          <cell r="F98">
            <v>36.4</v>
          </cell>
        </row>
        <row r="100">
          <cell r="F100">
            <v>0</v>
          </cell>
        </row>
        <row r="101">
          <cell r="F101">
            <v>0</v>
          </cell>
        </row>
        <row r="102">
          <cell r="F102">
            <v>0</v>
          </cell>
        </row>
        <row r="103">
          <cell r="F103">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tender.biz/planDetails/fee2c973f3ed4f5f90c6b947716f84e0" TargetMode="External" /><Relationship Id="rId2" Type="http://schemas.openxmlformats.org/officeDocument/2006/relationships/hyperlink" Target="https://e-tender.biz/planDetails/fe35ba3daeb04bc78f1d99828d42fa65" TargetMode="External" /><Relationship Id="rId3" Type="http://schemas.openxmlformats.org/officeDocument/2006/relationships/hyperlink" Target="https://e-tender.biz/planDetails/fcab088da29a4d0ba47c7d4c6697df32" TargetMode="External" /><Relationship Id="rId4" Type="http://schemas.openxmlformats.org/officeDocument/2006/relationships/hyperlink" Target="https://e-tender.biz/planDetails/f76573ac8f6e41e5a03c57931819e2f4" TargetMode="External" /><Relationship Id="rId5" Type="http://schemas.openxmlformats.org/officeDocument/2006/relationships/hyperlink" Target="https://e-tender.biz/planDetails/f6ab6c6b45bd44e4a7dc1123d1218dde" TargetMode="External" /><Relationship Id="rId6" Type="http://schemas.openxmlformats.org/officeDocument/2006/relationships/hyperlink" Target="https://e-tender.biz/planDetails/f59d831817a54337b5d03099cfbdde62" TargetMode="External" /><Relationship Id="rId7" Type="http://schemas.openxmlformats.org/officeDocument/2006/relationships/hyperlink" Target="https://e-tender.biz/planDetails/e7c130a907f94f818b0e3745924ac14c" TargetMode="External" /><Relationship Id="rId8" Type="http://schemas.openxmlformats.org/officeDocument/2006/relationships/hyperlink" Target="https://e-tender.biz/planDetails/e635c02986bb46fe8325b0e439d99ee9" TargetMode="External" /><Relationship Id="rId9" Type="http://schemas.openxmlformats.org/officeDocument/2006/relationships/hyperlink" Target="https://e-tender.biz/planDetails/e61568de57e14c10a81172362cbbc3ac" TargetMode="External" /><Relationship Id="rId10" Type="http://schemas.openxmlformats.org/officeDocument/2006/relationships/hyperlink" Target="https://e-tender.biz/planDetails/e380b508ffde4c6a9656d0c97aea59ee" TargetMode="External" /><Relationship Id="rId11" Type="http://schemas.openxmlformats.org/officeDocument/2006/relationships/hyperlink" Target="https://e-tender.biz/planDetails/dde195d9ecd24b75ae1b2b7105aeea38" TargetMode="External" /><Relationship Id="rId12" Type="http://schemas.openxmlformats.org/officeDocument/2006/relationships/hyperlink" Target="https://e-tender.biz/planDetails/db946d895084456bb422233162cfe7f8" TargetMode="External" /><Relationship Id="rId13" Type="http://schemas.openxmlformats.org/officeDocument/2006/relationships/hyperlink" Target="https://e-tender.biz/planDetails/d79bb757a3c048bcbcf13a120ed7cb3c" TargetMode="External" /><Relationship Id="rId14" Type="http://schemas.openxmlformats.org/officeDocument/2006/relationships/hyperlink" Target="https://e-tender.biz/planDetails/d719b8b7456b49ae99086b5ba32a3e04" TargetMode="External" /><Relationship Id="rId15" Type="http://schemas.openxmlformats.org/officeDocument/2006/relationships/hyperlink" Target="https://e-tender.biz/planDetails/d63209a1e1e4424d998bff3bf4a74c0f" TargetMode="External" /><Relationship Id="rId16" Type="http://schemas.openxmlformats.org/officeDocument/2006/relationships/hyperlink" Target="https://e-tender.biz/planDetails/d2fec7bf8d794bbdb7ac7927bcc64556" TargetMode="External" /><Relationship Id="rId17" Type="http://schemas.openxmlformats.org/officeDocument/2006/relationships/hyperlink" Target="https://e-tender.biz/planDetails/ceefb23b59634ffaa9a5fc26039a95ab" TargetMode="External" /><Relationship Id="rId18" Type="http://schemas.openxmlformats.org/officeDocument/2006/relationships/hyperlink" Target="https://e-tender.biz/planDetails/cd27bccdaabc4d60a845fbd6c2c7df87" TargetMode="External" /><Relationship Id="rId19" Type="http://schemas.openxmlformats.org/officeDocument/2006/relationships/hyperlink" Target="https://e-tender.biz/planDetails/c1b9859d9e654e32a4ab93f2b931f36b" TargetMode="External" /><Relationship Id="rId20" Type="http://schemas.openxmlformats.org/officeDocument/2006/relationships/hyperlink" Target="https://e-tender.biz/planDetails/bb57b9fa0a794fe7a7878ea766cd5222" TargetMode="External" /><Relationship Id="rId21" Type="http://schemas.openxmlformats.org/officeDocument/2006/relationships/hyperlink" Target="https://e-tender.biz/planDetails/baf1c1ba0c8948cf9a3d27ed1ad7f895" TargetMode="External" /><Relationship Id="rId22" Type="http://schemas.openxmlformats.org/officeDocument/2006/relationships/hyperlink" Target="https://e-tender.biz/planDetails/b7eb4fbbc05a4016be42f910a2eb6d9e" TargetMode="External" /><Relationship Id="rId23" Type="http://schemas.openxmlformats.org/officeDocument/2006/relationships/hyperlink" Target="https://e-tender.biz/planDetails/b77983567a614766be03ce9badac22f9" TargetMode="External" /><Relationship Id="rId24" Type="http://schemas.openxmlformats.org/officeDocument/2006/relationships/hyperlink" Target="https://e-tender.biz/planDetails/ad306e43cd13487ca0c45d081aee48f5" TargetMode="External" /><Relationship Id="rId25" Type="http://schemas.openxmlformats.org/officeDocument/2006/relationships/hyperlink" Target="https://e-tender.biz/planDetails/a8f3b152f1b146e3948488f1fcffa782" TargetMode="External" /><Relationship Id="rId26" Type="http://schemas.openxmlformats.org/officeDocument/2006/relationships/hyperlink" Target="https://e-tender.biz/planDetails/9f509ee17d6a48e4b1baa94b44a7b1b3" TargetMode="External" /><Relationship Id="rId27" Type="http://schemas.openxmlformats.org/officeDocument/2006/relationships/hyperlink" Target="https://e-tender.biz/planDetails/989d7e590ae540dca3d49c1520ae5072" TargetMode="External" /><Relationship Id="rId28" Type="http://schemas.openxmlformats.org/officeDocument/2006/relationships/hyperlink" Target="https://e-tender.biz/planDetails/94fd66f8316d4500816cb98fcd747464" TargetMode="External" /><Relationship Id="rId29" Type="http://schemas.openxmlformats.org/officeDocument/2006/relationships/hyperlink" Target="https://e-tender.biz/planDetails/9449cc1a25454624bc843a53b60eaa9f" TargetMode="External" /><Relationship Id="rId30" Type="http://schemas.openxmlformats.org/officeDocument/2006/relationships/hyperlink" Target="https://e-tender.biz/planDetails/934076a7c5e047e6858dfd16d10b109d" TargetMode="External" /><Relationship Id="rId31" Type="http://schemas.openxmlformats.org/officeDocument/2006/relationships/hyperlink" Target="https://e-tender.biz/planDetails/8daafc1ea1d740908861c34d265ae91e" TargetMode="External" /><Relationship Id="rId32" Type="http://schemas.openxmlformats.org/officeDocument/2006/relationships/hyperlink" Target="https://e-tender.biz/planDetails/89ffd304fbcd412c908c7247d567efa4" TargetMode="External" /><Relationship Id="rId33" Type="http://schemas.openxmlformats.org/officeDocument/2006/relationships/hyperlink" Target="https://e-tender.biz/planDetails/886e1d9cbba447feb1ddaacc86e696fb" TargetMode="External" /><Relationship Id="rId34" Type="http://schemas.openxmlformats.org/officeDocument/2006/relationships/hyperlink" Target="https://e-tender.biz/planDetails/8597b6be7b4f489f9a1fc8c79d6dd397" TargetMode="External" /><Relationship Id="rId35" Type="http://schemas.openxmlformats.org/officeDocument/2006/relationships/hyperlink" Target="https://e-tender.biz/planDetails/822cedc0d827480b919164f901ab9dac" TargetMode="External" /><Relationship Id="rId36" Type="http://schemas.openxmlformats.org/officeDocument/2006/relationships/hyperlink" Target="https://e-tender.biz/planDetails/815be4341eda465a8803a07ca4fa86dc" TargetMode="External" /><Relationship Id="rId37" Type="http://schemas.openxmlformats.org/officeDocument/2006/relationships/hyperlink" Target="https://e-tender.biz/planDetails/809d00cec4784515bb726790df59ddc9" TargetMode="External" /><Relationship Id="rId38" Type="http://schemas.openxmlformats.org/officeDocument/2006/relationships/hyperlink" Target="https://e-tender.biz/planDetails/7809ffa715a440d5a0318f1902f3e997" TargetMode="External" /><Relationship Id="rId39" Type="http://schemas.openxmlformats.org/officeDocument/2006/relationships/hyperlink" Target="https://e-tender.biz/planDetails/776e08356fee45db9ebed22da177c086" TargetMode="External" /><Relationship Id="rId40" Type="http://schemas.openxmlformats.org/officeDocument/2006/relationships/hyperlink" Target="https://e-tender.biz/planDetails/77471c2f5cd8475b98554dfab26046d8" TargetMode="External" /><Relationship Id="rId41" Type="http://schemas.openxmlformats.org/officeDocument/2006/relationships/hyperlink" Target="https://e-tender.biz/planDetails/6fc3a7bfc7df4d2ab874caadc2874fcd" TargetMode="External" /><Relationship Id="rId42" Type="http://schemas.openxmlformats.org/officeDocument/2006/relationships/hyperlink" Target="https://e-tender.biz/planDetails/67b35c2816b546978649dd4385892919" TargetMode="External" /><Relationship Id="rId43" Type="http://schemas.openxmlformats.org/officeDocument/2006/relationships/hyperlink" Target="https://e-tender.biz/planDetails/6484e0024ff44903826bceb0c94048e2" TargetMode="External" /><Relationship Id="rId44" Type="http://schemas.openxmlformats.org/officeDocument/2006/relationships/hyperlink" Target="https://e-tender.biz/planDetails/63f072fe76cd4051b26053dc054097fb" TargetMode="External" /><Relationship Id="rId45" Type="http://schemas.openxmlformats.org/officeDocument/2006/relationships/hyperlink" Target="https://e-tender.biz/planDetails/626b03b760da42bb9f5488c84b58fe31" TargetMode="External" /><Relationship Id="rId46" Type="http://schemas.openxmlformats.org/officeDocument/2006/relationships/hyperlink" Target="https://e-tender.biz/planDetails/60b02dce80984260b33d7eb676240e2b" TargetMode="External" /><Relationship Id="rId47" Type="http://schemas.openxmlformats.org/officeDocument/2006/relationships/hyperlink" Target="https://e-tender.biz/planDetails/5b101a1d5dbe431d95b3fe5aceec5190" TargetMode="External" /><Relationship Id="rId48" Type="http://schemas.openxmlformats.org/officeDocument/2006/relationships/hyperlink" Target="https://e-tender.biz/planDetails/5a5543a168034c5dbfc7bb37bf73666f" TargetMode="External" /><Relationship Id="rId49" Type="http://schemas.openxmlformats.org/officeDocument/2006/relationships/hyperlink" Target="https://e-tender.biz/planDetails/599b96f4ebd349c79e7ac7da00136734" TargetMode="External" /><Relationship Id="rId50" Type="http://schemas.openxmlformats.org/officeDocument/2006/relationships/hyperlink" Target="https://e-tender.biz/planDetails/4ae1fc82fff846e2a9140c2c654a02b7" TargetMode="External" /><Relationship Id="rId51" Type="http://schemas.openxmlformats.org/officeDocument/2006/relationships/hyperlink" Target="https://e-tender.biz/planDetails/4a78b17b1d764cada2de515e28ce5ee1" TargetMode="External" /><Relationship Id="rId52" Type="http://schemas.openxmlformats.org/officeDocument/2006/relationships/hyperlink" Target="https://e-tender.biz/planDetails/48fc2cd7fd0f4de1ac75bad64811dd69" TargetMode="External" /><Relationship Id="rId53" Type="http://schemas.openxmlformats.org/officeDocument/2006/relationships/hyperlink" Target="https://e-tender.biz/planDetails/444372144ba1416384e0432bd2edc576" TargetMode="External" /><Relationship Id="rId54" Type="http://schemas.openxmlformats.org/officeDocument/2006/relationships/hyperlink" Target="https://e-tender.biz/planDetails/407cb3e617374fe1af99ea5ba943172a" TargetMode="External" /><Relationship Id="rId55" Type="http://schemas.openxmlformats.org/officeDocument/2006/relationships/hyperlink" Target="https://e-tender.biz/planDetails/3c9d3dc026904abdbe0e4d363d2d20d1" TargetMode="External" /><Relationship Id="rId56" Type="http://schemas.openxmlformats.org/officeDocument/2006/relationships/hyperlink" Target="https://e-tender.biz/planDetails/3c81fb75d95540af946efd18517c3e02" TargetMode="External" /><Relationship Id="rId57" Type="http://schemas.openxmlformats.org/officeDocument/2006/relationships/hyperlink" Target="https://e-tender.biz/planDetails/3b6f640d98c14d588a82f9a13c9e5b5d" TargetMode="External" /><Relationship Id="rId58" Type="http://schemas.openxmlformats.org/officeDocument/2006/relationships/hyperlink" Target="https://e-tender.biz/planDetails/395ba7790cba47c784cd12ff93556da7" TargetMode="External" /><Relationship Id="rId59" Type="http://schemas.openxmlformats.org/officeDocument/2006/relationships/hyperlink" Target="https://e-tender.biz/planDetails/38d915142f244f76b82f874a722dddf3" TargetMode="External" /><Relationship Id="rId60" Type="http://schemas.openxmlformats.org/officeDocument/2006/relationships/hyperlink" Target="https://e-tender.biz/planDetails/2fe7a1c674894ed09419b1568f8769af" TargetMode="External" /><Relationship Id="rId61" Type="http://schemas.openxmlformats.org/officeDocument/2006/relationships/hyperlink" Target="https://e-tender.biz/planDetails/256844c8d630441788403e52dc2cdce9" TargetMode="External" /><Relationship Id="rId62" Type="http://schemas.openxmlformats.org/officeDocument/2006/relationships/hyperlink" Target="https://e-tender.biz/planDetails/23ffe1ae526943d996efba9c8b83bfa0" TargetMode="External" /><Relationship Id="rId63" Type="http://schemas.openxmlformats.org/officeDocument/2006/relationships/hyperlink" Target="https://e-tender.biz/planDetails/229d01160e6b4e1d9f2bedaafef259e3" TargetMode="External" /><Relationship Id="rId64" Type="http://schemas.openxmlformats.org/officeDocument/2006/relationships/hyperlink" Target="https://e-tender.biz/planDetails/214423a394b0471ca2bd390022bd8152" TargetMode="External" /><Relationship Id="rId65" Type="http://schemas.openxmlformats.org/officeDocument/2006/relationships/hyperlink" Target="https://e-tender.biz/planDetails/1d515c9fe8c44dec9f2a0f10cf4af596" TargetMode="External" /><Relationship Id="rId66" Type="http://schemas.openxmlformats.org/officeDocument/2006/relationships/hyperlink" Target="https://e-tender.biz/planDetails/1a6e272060564448a392828a4e86877e" TargetMode="External" /><Relationship Id="rId67" Type="http://schemas.openxmlformats.org/officeDocument/2006/relationships/hyperlink" Target="https://e-tender.biz/planDetails/1a608606c94c4a2daf3b054dd525ef0f" TargetMode="External" /><Relationship Id="rId68" Type="http://schemas.openxmlformats.org/officeDocument/2006/relationships/hyperlink" Target="https://e-tender.biz/planDetails/1489f805c92041c1adfe0eacdf11879a" TargetMode="External" /><Relationship Id="rId69" Type="http://schemas.openxmlformats.org/officeDocument/2006/relationships/hyperlink" Target="https://e-tender.biz/planDetails/07033f08fc114e40bdf735e69ef58599" TargetMode="External" /><Relationship Id="rId70" Type="http://schemas.openxmlformats.org/officeDocument/2006/relationships/hyperlink" Target="https://e-tender.biz/planDetails/ea5dd2219835423982cd5e7b3df4faec" TargetMode="External" /><Relationship Id="rId71" Type="http://schemas.openxmlformats.org/officeDocument/2006/relationships/hyperlink" Target="https://e-tender.biz/tender/poshtovi-ta-telekomunikacijni-poslugi/UA-2020-01-24-002953-a-posluhy-telefonnoho-zvyazku-ta-peredachi-danyx-posluhy-ruxomoho-mobilnoho" TargetMode="External" /><Relationship Id="rId72" Type="http://schemas.openxmlformats.org/officeDocument/2006/relationships/hyperlink" Target="https://e-tender.biz/planDetails/905a7a2daba044a68b53a96402ae9241" TargetMode="External" /><Relationship Id="rId73" Type="http://schemas.openxmlformats.org/officeDocument/2006/relationships/hyperlink" Target="https://e-tender.biz/tender/poshtovi-ta-telekomunikacijni-poslugi/UA-2020-01-24-002515-a-posluhy-telefonnoho-zvyazku-ta-peredachi-danyx-posluhy-ruxomoho-mobilnoho" TargetMode="External" /><Relationship Id="rId74" Type="http://schemas.openxmlformats.org/officeDocument/2006/relationships/hyperlink" Target="https://e-tender.biz/planDetails/b78b6c90a09144d888d21dea14273e03" TargetMode="External" /><Relationship Id="rId75" Type="http://schemas.openxmlformats.org/officeDocument/2006/relationships/hyperlink" Target="https://e-tender.biz/tender/poshtovi-ta-telekomunikacijni-poslugi/UA-2020-01-24-002226-a-posluhy-telefonnoho-zvyazku-ta-peredachi-danyx-posluhy-za-telefon-ta-internet" TargetMode="External" /><Relationship Id="rId76" Type="http://schemas.openxmlformats.org/officeDocument/2006/relationships/hyperlink" Target="https://e-tender.biz/planDetails/9f37e79124f34887995907ebc894dc6c" TargetMode="External" /><Relationship Id="rId77" Type="http://schemas.openxmlformats.org/officeDocument/2006/relationships/hyperlink" Target="https://e-tender.biz/tender/produkti-harchuvannya/UA-2020-01-15-001695-c-speczialni-produkty-xarchuvannya-zbahacheni-pozhyvnymy-rechovynamy-za-kodom-cpv-za" TargetMode="External" /><Relationship Id="rId78" Type="http://schemas.openxmlformats.org/officeDocument/2006/relationships/hyperlink" Target="https://e-tender.biz/planDetails/8390b89961da4983857baa4ae7294bac" TargetMode="External" /><Relationship Id="rId79" Type="http://schemas.openxmlformats.org/officeDocument/2006/relationships/hyperlink" Target="https://e-tender.biz/tender/naftoprodukti-ta-elektroenergiya/UA-2020-01-10-000697-c-nafta-i-dystylyaty-benzyn-marky-a-92" TargetMode="External" /><Relationship Id="rId80" Type="http://schemas.openxmlformats.org/officeDocument/2006/relationships/hyperlink" Target="https://e-tender.biz/planDetails/8d729952aa1c460690ba9c61c4ebb4b4" TargetMode="External" /><Relationship Id="rId81" Type="http://schemas.openxmlformats.org/officeDocument/2006/relationships/hyperlink" Target="https://e-tender.biz/tender/naftoprodukti-ta-elektroenergiya/UA-2020-01-03-000578-c-elektrychna-enerhiya-elektrychna-enerhiya-ta-suputni-posluhy"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e-tender.biz/tender/produkti-harchuvannya/UA-2020-01-15-001695-c-speczialni-produkty-xarchuvannya-zbahacheni-pozhyvnymy-rechovynamy-za-kodom-cpv-z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tender.biz/tender/produkti-harchuvannya/UA-2020-01-15-001695-c-speczialni-produkty-xarchuvannya-zbahacheni-pozhyvnymy-rechovynamy-za-kodom-cpv-z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s://e-tender.biz/tender/produkti-harchuvannya/UA-2020-01-15-001695-c-speczialni-produkty-xarchuvannya-zbahacheni-pozhyvnymy-rechovynamy-za-kodom-cpv-za" TargetMode="External" /><Relationship Id="rId2" Type="http://schemas.openxmlformats.org/officeDocument/2006/relationships/hyperlink" Target="https://e-tender.biz/tender/naftoprodukti-ta-elektroenergiya/UA-2020-01-03-000578-c-elektrychna-enerhiya-elektrychna-enerhiya-ta-suputni-posluhy" TargetMode="External" /><Relationship Id="rId3" Type="http://schemas.openxmlformats.org/officeDocument/2006/relationships/hyperlink" Target="https://e-tender.biz/tender/drukovana-produkciya/UA-2020-04-29-000572-a-blanky-recepturni-blanky-f-3" TargetMode="External" /><Relationship Id="rId4" Type="http://schemas.openxmlformats.org/officeDocument/2006/relationships/hyperlink" Target="https://e-tender.biz/tender/drukovana-produkciya/UA-2020-05-22-002858-b-blanky-recepturni-blanky-f-3"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159"/>
  <sheetViews>
    <sheetView zoomScalePageLayoutView="0" workbookViewId="0" topLeftCell="A1">
      <selection activeCell="E151" sqref="A2:E151"/>
    </sheetView>
  </sheetViews>
  <sheetFormatPr defaultColWidth="9.140625" defaultRowHeight="15"/>
  <cols>
    <col min="1" max="1" width="13.7109375" style="9" bestFit="1" customWidth="1"/>
    <col min="2" max="2" width="86.57421875" style="9" customWidth="1"/>
    <col min="3" max="3" width="34.00390625" style="9" customWidth="1"/>
    <col min="4" max="4" width="16.8515625" style="9" customWidth="1"/>
    <col min="5" max="5" width="18.421875" style="69" bestFit="1" customWidth="1"/>
    <col min="6" max="16384" width="9.140625" style="9" customWidth="1"/>
  </cols>
  <sheetData>
    <row r="2" spans="2:5" ht="18.75">
      <c r="B2" s="390" t="s">
        <v>356</v>
      </c>
      <c r="C2" s="390"/>
      <c r="D2" s="390"/>
      <c r="E2" s="68"/>
    </row>
    <row r="3" spans="2:4" ht="18.75">
      <c r="B3" s="391" t="s">
        <v>183</v>
      </c>
      <c r="C3" s="391"/>
      <c r="D3" s="391"/>
    </row>
    <row r="4" spans="2:5" ht="18.75">
      <c r="B4" s="391" t="s">
        <v>323</v>
      </c>
      <c r="C4" s="391"/>
      <c r="D4" s="391"/>
      <c r="E4" s="68"/>
    </row>
    <row r="6" s="55" customFormat="1" ht="15.75">
      <c r="E6" s="70"/>
    </row>
    <row r="7" spans="1:5" s="55" customFormat="1" ht="15.75">
      <c r="A7" s="57" t="s">
        <v>184</v>
      </c>
      <c r="B7" s="61">
        <v>141</v>
      </c>
      <c r="D7" s="57"/>
      <c r="E7" s="71"/>
    </row>
    <row r="8" spans="1:5" ht="15.75">
      <c r="A8" s="57" t="s">
        <v>187</v>
      </c>
      <c r="B8" s="392" t="s">
        <v>188</v>
      </c>
      <c r="C8" s="392"/>
      <c r="D8" s="392"/>
      <c r="E8" s="392"/>
    </row>
    <row r="9" ht="15.75">
      <c r="D9" s="3" t="s">
        <v>186</v>
      </c>
    </row>
    <row r="10" spans="2:5" ht="15.75">
      <c r="B10" s="388" t="s">
        <v>270</v>
      </c>
      <c r="C10" s="389"/>
      <c r="D10" s="8" t="s">
        <v>269</v>
      </c>
      <c r="E10" s="72">
        <v>10000</v>
      </c>
    </row>
    <row r="11" spans="2:5" ht="15.75">
      <c r="B11" s="388" t="s">
        <v>24</v>
      </c>
      <c r="C11" s="389"/>
      <c r="D11" s="8" t="s">
        <v>23</v>
      </c>
      <c r="E11" s="72">
        <v>2000</v>
      </c>
    </row>
    <row r="12" spans="2:5" ht="15.75">
      <c r="B12" s="388" t="s">
        <v>44</v>
      </c>
      <c r="C12" s="389"/>
      <c r="D12" s="8" t="s">
        <v>45</v>
      </c>
      <c r="E12" s="72">
        <v>10000</v>
      </c>
    </row>
    <row r="13" spans="2:5" ht="15.75">
      <c r="B13" s="388" t="s">
        <v>274</v>
      </c>
      <c r="C13" s="389"/>
      <c r="D13" s="8" t="s">
        <v>273</v>
      </c>
      <c r="E13" s="72">
        <v>20000</v>
      </c>
    </row>
    <row r="14" spans="2:5" ht="15.75">
      <c r="B14" s="388" t="s">
        <v>278</v>
      </c>
      <c r="C14" s="389"/>
      <c r="D14" s="8" t="s">
        <v>277</v>
      </c>
      <c r="E14" s="72">
        <v>180000</v>
      </c>
    </row>
    <row r="15" spans="2:5" ht="15.75">
      <c r="B15" s="388" t="s">
        <v>276</v>
      </c>
      <c r="C15" s="389"/>
      <c r="D15" s="8" t="s">
        <v>275</v>
      </c>
      <c r="E15" s="72">
        <v>188000</v>
      </c>
    </row>
    <row r="16" spans="2:5" ht="15.75">
      <c r="B16" s="388" t="s">
        <v>280</v>
      </c>
      <c r="C16" s="389"/>
      <c r="D16" s="8" t="s">
        <v>279</v>
      </c>
      <c r="E16" s="72">
        <v>150000</v>
      </c>
    </row>
    <row r="17" spans="2:5" ht="15.75">
      <c r="B17" s="388" t="s">
        <v>185</v>
      </c>
      <c r="C17" s="389"/>
      <c r="D17" s="8" t="s">
        <v>40</v>
      </c>
      <c r="E17" s="72">
        <v>190000</v>
      </c>
    </row>
    <row r="18" spans="2:5" ht="15.75">
      <c r="B18" s="393" t="s">
        <v>22</v>
      </c>
      <c r="C18" s="394"/>
      <c r="D18" s="5"/>
      <c r="E18" s="73">
        <f>SUM(E10:E17)</f>
        <v>750000</v>
      </c>
    </row>
    <row r="22" spans="1:2" ht="15.75">
      <c r="A22" s="57" t="s">
        <v>184</v>
      </c>
      <c r="B22" s="61" t="s">
        <v>190</v>
      </c>
    </row>
    <row r="23" spans="1:5" ht="15.75">
      <c r="A23" s="57" t="s">
        <v>187</v>
      </c>
      <c r="B23" s="392" t="s">
        <v>119</v>
      </c>
      <c r="C23" s="392"/>
      <c r="D23" s="392"/>
      <c r="E23" s="392"/>
    </row>
    <row r="24" spans="1:5" ht="15.75">
      <c r="A24" s="57"/>
      <c r="B24" s="133"/>
      <c r="C24" s="133"/>
      <c r="D24" s="3" t="s">
        <v>186</v>
      </c>
      <c r="E24" s="74"/>
    </row>
    <row r="25" spans="2:5" ht="15.75">
      <c r="B25" s="388" t="s">
        <v>41</v>
      </c>
      <c r="C25" s="389"/>
      <c r="D25" s="8" t="s">
        <v>12</v>
      </c>
      <c r="E25" s="72">
        <v>10000</v>
      </c>
    </row>
    <row r="26" spans="2:5" ht="15.75">
      <c r="B26" s="388" t="s">
        <v>14</v>
      </c>
      <c r="C26" s="389"/>
      <c r="D26" s="8" t="s">
        <v>13</v>
      </c>
      <c r="E26" s="72">
        <v>1000</v>
      </c>
    </row>
    <row r="27" spans="2:5" ht="15.75">
      <c r="B27" s="388" t="s">
        <v>226</v>
      </c>
      <c r="C27" s="389"/>
      <c r="D27" s="8" t="s">
        <v>223</v>
      </c>
      <c r="E27" s="72">
        <v>5000</v>
      </c>
    </row>
    <row r="28" spans="2:5" ht="15.75">
      <c r="B28" s="388" t="s">
        <v>225</v>
      </c>
      <c r="C28" s="389"/>
      <c r="D28" s="8" t="s">
        <v>23</v>
      </c>
      <c r="E28" s="72">
        <v>20000</v>
      </c>
    </row>
    <row r="29" spans="2:5" ht="15.75">
      <c r="B29" s="388" t="s">
        <v>227</v>
      </c>
      <c r="C29" s="389"/>
      <c r="D29" s="8" t="s">
        <v>224</v>
      </c>
      <c r="E29" s="72">
        <v>5000</v>
      </c>
    </row>
    <row r="30" spans="2:5" ht="15.75">
      <c r="B30" s="388" t="s">
        <v>272</v>
      </c>
      <c r="C30" s="389"/>
      <c r="D30" s="8" t="s">
        <v>271</v>
      </c>
      <c r="E30" s="72">
        <v>15000</v>
      </c>
    </row>
    <row r="31" spans="2:5" ht="15.75">
      <c r="B31" s="388" t="s">
        <v>282</v>
      </c>
      <c r="C31" s="389"/>
      <c r="D31" s="8" t="s">
        <v>228</v>
      </c>
      <c r="E31" s="72">
        <v>40000</v>
      </c>
    </row>
    <row r="32" spans="2:5" ht="15.75">
      <c r="B32" s="388" t="s">
        <v>283</v>
      </c>
      <c r="C32" s="389"/>
      <c r="D32" s="8" t="s">
        <v>229</v>
      </c>
      <c r="E32" s="72">
        <v>40000</v>
      </c>
    </row>
    <row r="33" spans="2:5" ht="15.75">
      <c r="B33" s="388" t="s">
        <v>15</v>
      </c>
      <c r="C33" s="389"/>
      <c r="D33" s="8" t="s">
        <v>230</v>
      </c>
      <c r="E33" s="72">
        <v>45000</v>
      </c>
    </row>
    <row r="34" spans="2:5" ht="15.75">
      <c r="B34" s="388" t="s">
        <v>232</v>
      </c>
      <c r="C34" s="389"/>
      <c r="D34" s="8" t="s">
        <v>231</v>
      </c>
      <c r="E34" s="72">
        <v>2000</v>
      </c>
    </row>
    <row r="35" spans="2:5" ht="15.75">
      <c r="B35" s="388" t="s">
        <v>233</v>
      </c>
      <c r="C35" s="389"/>
      <c r="D35" s="8" t="s">
        <v>234</v>
      </c>
      <c r="E35" s="72">
        <v>2000</v>
      </c>
    </row>
    <row r="36" spans="2:5" ht="15.75">
      <c r="B36" s="388" t="s">
        <v>328</v>
      </c>
      <c r="C36" s="389"/>
      <c r="D36" s="8" t="s">
        <v>329</v>
      </c>
      <c r="E36" s="72">
        <v>1000</v>
      </c>
    </row>
    <row r="37" spans="2:5" ht="15.75">
      <c r="B37" s="388" t="s">
        <v>238</v>
      </c>
      <c r="C37" s="389"/>
      <c r="D37" s="8" t="s">
        <v>237</v>
      </c>
      <c r="E37" s="72">
        <v>3000</v>
      </c>
    </row>
    <row r="38" spans="2:5" ht="15.75">
      <c r="B38" s="388" t="s">
        <v>236</v>
      </c>
      <c r="C38" s="389"/>
      <c r="D38" s="8" t="s">
        <v>235</v>
      </c>
      <c r="E38" s="72">
        <v>3000</v>
      </c>
    </row>
    <row r="39" spans="2:5" ht="15.75">
      <c r="B39" s="388" t="s">
        <v>330</v>
      </c>
      <c r="C39" s="389"/>
      <c r="D39" s="8" t="s">
        <v>331</v>
      </c>
      <c r="E39" s="72">
        <v>10000</v>
      </c>
    </row>
    <row r="40" spans="2:5" ht="15.75">
      <c r="B40" s="388" t="s">
        <v>17</v>
      </c>
      <c r="C40" s="389"/>
      <c r="D40" s="8" t="s">
        <v>16</v>
      </c>
      <c r="E40" s="72">
        <v>5000</v>
      </c>
    </row>
    <row r="41" spans="2:5" ht="15.75">
      <c r="B41" s="388" t="s">
        <v>240</v>
      </c>
      <c r="C41" s="389"/>
      <c r="D41" s="8" t="s">
        <v>239</v>
      </c>
      <c r="E41" s="72">
        <v>15000</v>
      </c>
    </row>
    <row r="42" spans="2:5" ht="15.75">
      <c r="B42" s="388" t="s">
        <v>242</v>
      </c>
      <c r="C42" s="389"/>
      <c r="D42" s="8" t="s">
        <v>241</v>
      </c>
      <c r="E42" s="72">
        <v>15000</v>
      </c>
    </row>
    <row r="43" spans="2:5" ht="15.75">
      <c r="B43" s="388" t="s">
        <v>244</v>
      </c>
      <c r="C43" s="389"/>
      <c r="D43" s="8" t="s">
        <v>243</v>
      </c>
      <c r="E43" s="72">
        <v>10000</v>
      </c>
    </row>
    <row r="44" spans="2:5" ht="15.75">
      <c r="B44" s="388" t="s">
        <v>246</v>
      </c>
      <c r="C44" s="389"/>
      <c r="D44" s="8" t="s">
        <v>245</v>
      </c>
      <c r="E44" s="72">
        <v>10000</v>
      </c>
    </row>
    <row r="45" spans="2:5" ht="15.75">
      <c r="B45" s="388" t="s">
        <v>248</v>
      </c>
      <c r="C45" s="389"/>
      <c r="D45" s="8" t="s">
        <v>247</v>
      </c>
      <c r="E45" s="72">
        <v>40000</v>
      </c>
    </row>
    <row r="46" spans="2:5" ht="15.75">
      <c r="B46" s="388" t="s">
        <v>250</v>
      </c>
      <c r="C46" s="389"/>
      <c r="D46" s="8" t="s">
        <v>249</v>
      </c>
      <c r="E46" s="72">
        <v>130000</v>
      </c>
    </row>
    <row r="47" spans="2:5" ht="15.75">
      <c r="B47" s="388" t="s">
        <v>252</v>
      </c>
      <c r="C47" s="389"/>
      <c r="D47" s="8" t="s">
        <v>251</v>
      </c>
      <c r="E47" s="72">
        <v>120000</v>
      </c>
    </row>
    <row r="48" spans="2:5" ht="15.75">
      <c r="B48" s="388" t="s">
        <v>254</v>
      </c>
      <c r="C48" s="389"/>
      <c r="D48" s="8" t="s">
        <v>253</v>
      </c>
      <c r="E48" s="72">
        <v>5000</v>
      </c>
    </row>
    <row r="49" spans="2:5" ht="15.75">
      <c r="B49" s="388" t="s">
        <v>332</v>
      </c>
      <c r="C49" s="389"/>
      <c r="D49" s="8" t="s">
        <v>255</v>
      </c>
      <c r="E49" s="72">
        <v>25000</v>
      </c>
    </row>
    <row r="50" spans="2:5" ht="15.75">
      <c r="B50" s="388" t="s">
        <v>268</v>
      </c>
      <c r="C50" s="389"/>
      <c r="D50" s="8" t="s">
        <v>219</v>
      </c>
      <c r="E50" s="72">
        <v>20000</v>
      </c>
    </row>
    <row r="51" spans="2:5" ht="15.75">
      <c r="B51" s="388" t="s">
        <v>257</v>
      </c>
      <c r="C51" s="389"/>
      <c r="D51" s="8" t="s">
        <v>256</v>
      </c>
      <c r="E51" s="72">
        <v>2000</v>
      </c>
    </row>
    <row r="52" spans="2:5" ht="15.75">
      <c r="B52" s="388" t="s">
        <v>259</v>
      </c>
      <c r="C52" s="389"/>
      <c r="D52" s="8" t="s">
        <v>258</v>
      </c>
      <c r="E52" s="72">
        <v>6000</v>
      </c>
    </row>
    <row r="53" spans="2:5" ht="15.75">
      <c r="B53" s="388" t="s">
        <v>284</v>
      </c>
      <c r="C53" s="389"/>
      <c r="D53" s="8" t="s">
        <v>260</v>
      </c>
      <c r="E53" s="72">
        <v>10000</v>
      </c>
    </row>
    <row r="54" spans="2:5" ht="15.75">
      <c r="B54" s="388" t="s">
        <v>267</v>
      </c>
      <c r="C54" s="389"/>
      <c r="D54" s="8" t="s">
        <v>43</v>
      </c>
      <c r="E54" s="72">
        <v>45000</v>
      </c>
    </row>
    <row r="55" spans="2:5" ht="15.75">
      <c r="B55" s="388" t="s">
        <v>21</v>
      </c>
      <c r="C55" s="389"/>
      <c r="D55" s="8" t="s">
        <v>20</v>
      </c>
      <c r="E55" s="72">
        <v>15000</v>
      </c>
    </row>
    <row r="56" spans="2:5" ht="15.75">
      <c r="B56" s="388" t="s">
        <v>19</v>
      </c>
      <c r="C56" s="389"/>
      <c r="D56" s="8" t="s">
        <v>18</v>
      </c>
      <c r="E56" s="72">
        <v>10000</v>
      </c>
    </row>
    <row r="57" spans="2:5" ht="15.75">
      <c r="B57" s="388" t="s">
        <v>262</v>
      </c>
      <c r="C57" s="389"/>
      <c r="D57" s="8" t="s">
        <v>261</v>
      </c>
      <c r="E57" s="72">
        <v>10000</v>
      </c>
    </row>
    <row r="58" spans="2:5" ht="15.75">
      <c r="B58" s="388" t="s">
        <v>264</v>
      </c>
      <c r="C58" s="389"/>
      <c r="D58" s="8" t="s">
        <v>263</v>
      </c>
      <c r="E58" s="72">
        <v>4000</v>
      </c>
    </row>
    <row r="59" spans="2:5" ht="15.75">
      <c r="B59" s="388" t="s">
        <v>266</v>
      </c>
      <c r="C59" s="389"/>
      <c r="D59" s="8" t="s">
        <v>265</v>
      </c>
      <c r="E59" s="72">
        <v>1000</v>
      </c>
    </row>
    <row r="60" spans="2:5" ht="15.75">
      <c r="B60" s="393" t="s">
        <v>22</v>
      </c>
      <c r="C60" s="394"/>
      <c r="D60" s="5"/>
      <c r="E60" s="73">
        <f>SUM(E25:E59)</f>
        <v>700000</v>
      </c>
    </row>
    <row r="62" spans="1:2" ht="15.75">
      <c r="A62" s="57" t="s">
        <v>184</v>
      </c>
      <c r="B62" s="61" t="s">
        <v>191</v>
      </c>
    </row>
    <row r="63" spans="1:5" ht="15.75">
      <c r="A63" s="57" t="s">
        <v>187</v>
      </c>
      <c r="B63" s="392" t="s">
        <v>192</v>
      </c>
      <c r="C63" s="392"/>
      <c r="D63" s="392"/>
      <c r="E63" s="392"/>
    </row>
    <row r="64" spans="1:5" ht="15.75">
      <c r="A64" s="57"/>
      <c r="B64" s="133"/>
      <c r="C64" s="133"/>
      <c r="D64" s="3" t="s">
        <v>186</v>
      </c>
      <c r="E64" s="74"/>
    </row>
    <row r="65" spans="2:5" ht="15.75">
      <c r="B65" s="395" t="s">
        <v>11</v>
      </c>
      <c r="C65" s="396"/>
      <c r="D65" s="56" t="s">
        <v>10</v>
      </c>
      <c r="E65" s="72">
        <v>286000</v>
      </c>
    </row>
    <row r="66" spans="2:5" ht="15.75">
      <c r="B66" s="395" t="s">
        <v>189</v>
      </c>
      <c r="C66" s="396"/>
      <c r="D66" s="56" t="s">
        <v>9</v>
      </c>
      <c r="E66" s="72">
        <v>14000</v>
      </c>
    </row>
    <row r="67" spans="2:5" ht="15.75">
      <c r="B67" s="393" t="s">
        <v>22</v>
      </c>
      <c r="C67" s="394"/>
      <c r="D67" s="5"/>
      <c r="E67" s="73">
        <f>SUM(E65:E66)</f>
        <v>300000</v>
      </c>
    </row>
    <row r="68" spans="2:5" ht="15.75">
      <c r="B68" s="66"/>
      <c r="C68" s="66"/>
      <c r="D68" s="67"/>
      <c r="E68" s="75"/>
    </row>
    <row r="69" spans="1:2" ht="15.75">
      <c r="A69" s="57" t="s">
        <v>184</v>
      </c>
      <c r="B69" s="61" t="s">
        <v>215</v>
      </c>
    </row>
    <row r="70" spans="1:5" ht="15.75">
      <c r="A70" s="57" t="s">
        <v>187</v>
      </c>
      <c r="B70" s="392" t="s">
        <v>121</v>
      </c>
      <c r="C70" s="392"/>
      <c r="D70" s="392"/>
      <c r="E70" s="392"/>
    </row>
    <row r="71" spans="1:5" ht="15.75">
      <c r="A71" s="57"/>
      <c r="B71" s="133"/>
      <c r="C71" s="133"/>
      <c r="D71" s="3" t="s">
        <v>186</v>
      </c>
      <c r="E71" s="74"/>
    </row>
    <row r="72" spans="2:5" ht="15.75">
      <c r="B72" s="395" t="s">
        <v>122</v>
      </c>
      <c r="C72" s="396"/>
      <c r="D72" s="1" t="s">
        <v>31</v>
      </c>
      <c r="E72" s="72">
        <v>750000</v>
      </c>
    </row>
    <row r="73" spans="2:5" ht="15.75">
      <c r="B73" s="395" t="s">
        <v>123</v>
      </c>
      <c r="C73" s="396"/>
      <c r="D73" s="1" t="s">
        <v>36</v>
      </c>
      <c r="E73" s="72">
        <v>17500</v>
      </c>
    </row>
    <row r="74" spans="2:5" ht="15.75">
      <c r="B74" s="395" t="s">
        <v>124</v>
      </c>
      <c r="C74" s="396"/>
      <c r="D74" s="1" t="s">
        <v>57</v>
      </c>
      <c r="E74" s="72">
        <v>53500</v>
      </c>
    </row>
    <row r="75" spans="2:5" ht="15.75">
      <c r="B75" s="395" t="s">
        <v>125</v>
      </c>
      <c r="C75" s="396"/>
      <c r="D75" s="1" t="s">
        <v>32</v>
      </c>
      <c r="E75" s="72">
        <v>429000</v>
      </c>
    </row>
    <row r="76" spans="2:5" ht="15.75">
      <c r="B76" s="393" t="s">
        <v>22</v>
      </c>
      <c r="C76" s="394"/>
      <c r="D76" s="5"/>
      <c r="E76" s="73">
        <f>SUM(E72:E75)</f>
        <v>1250000</v>
      </c>
    </row>
    <row r="77" spans="2:5" ht="15.75">
      <c r="B77" s="66"/>
      <c r="C77" s="66"/>
      <c r="D77" s="67"/>
      <c r="E77" s="75"/>
    </row>
    <row r="78" spans="1:2" ht="15.75">
      <c r="A78" s="57" t="s">
        <v>184</v>
      </c>
      <c r="B78" s="61">
        <v>300</v>
      </c>
    </row>
    <row r="79" spans="1:5" ht="15.75">
      <c r="A79" s="57" t="s">
        <v>187</v>
      </c>
      <c r="B79" s="392" t="s">
        <v>193</v>
      </c>
      <c r="C79" s="392"/>
      <c r="D79" s="392"/>
      <c r="E79" s="392"/>
    </row>
    <row r="80" ht="15.75">
      <c r="D80" s="3" t="s">
        <v>186</v>
      </c>
    </row>
    <row r="81" spans="2:5" ht="15.75">
      <c r="B81" s="395" t="s">
        <v>42</v>
      </c>
      <c r="C81" s="396"/>
      <c r="D81" s="8" t="s">
        <v>221</v>
      </c>
      <c r="E81" s="72">
        <v>20000</v>
      </c>
    </row>
    <row r="82" spans="2:5" ht="15.75">
      <c r="B82" s="393" t="s">
        <v>22</v>
      </c>
      <c r="C82" s="394"/>
      <c r="D82" s="5"/>
      <c r="E82" s="73">
        <f>SUM(E81:E81)</f>
        <v>20000</v>
      </c>
    </row>
    <row r="84" spans="1:2" ht="15.75">
      <c r="A84" s="57" t="s">
        <v>184</v>
      </c>
      <c r="B84" s="61" t="s">
        <v>194</v>
      </c>
    </row>
    <row r="85" spans="1:5" ht="15.75">
      <c r="A85" s="57" t="s">
        <v>187</v>
      </c>
      <c r="B85" s="392" t="s">
        <v>126</v>
      </c>
      <c r="C85" s="392"/>
      <c r="D85" s="392"/>
      <c r="E85" s="392"/>
    </row>
    <row r="86" ht="15.75">
      <c r="D86" s="3" t="s">
        <v>186</v>
      </c>
    </row>
    <row r="87" spans="2:5" ht="15.75">
      <c r="B87" s="395" t="s">
        <v>345</v>
      </c>
      <c r="C87" s="396"/>
      <c r="D87" s="8" t="s">
        <v>8</v>
      </c>
      <c r="E87" s="72">
        <v>195000</v>
      </c>
    </row>
    <row r="88" spans="2:5" ht="15.75" customHeight="1">
      <c r="B88" s="395" t="s">
        <v>26</v>
      </c>
      <c r="C88" s="396"/>
      <c r="D88" s="8" t="s">
        <v>25</v>
      </c>
      <c r="E88" s="72">
        <v>30000</v>
      </c>
    </row>
    <row r="89" spans="2:5" ht="15.75">
      <c r="B89" s="395" t="s">
        <v>7</v>
      </c>
      <c r="C89" s="396"/>
      <c r="D89" s="8" t="s">
        <v>6</v>
      </c>
      <c r="E89" s="72">
        <v>45000</v>
      </c>
    </row>
    <row r="90" spans="2:5" ht="15.75">
      <c r="B90" s="395" t="s">
        <v>180</v>
      </c>
      <c r="C90" s="396"/>
      <c r="D90" s="8" t="s">
        <v>181</v>
      </c>
      <c r="E90" s="72">
        <v>25000</v>
      </c>
    </row>
    <row r="91" spans="2:5" ht="15.75" customHeight="1">
      <c r="B91" s="395" t="s">
        <v>46</v>
      </c>
      <c r="C91" s="396"/>
      <c r="D91" s="8" t="s">
        <v>47</v>
      </c>
      <c r="E91" s="72">
        <v>6000</v>
      </c>
    </row>
    <row r="92" spans="2:5" ht="15.75">
      <c r="B92" s="395" t="s">
        <v>28</v>
      </c>
      <c r="C92" s="396"/>
      <c r="D92" s="8" t="s">
        <v>27</v>
      </c>
      <c r="E92" s="72">
        <v>100000</v>
      </c>
    </row>
    <row r="93" spans="2:5" ht="15.75">
      <c r="B93" s="395" t="s">
        <v>48</v>
      </c>
      <c r="C93" s="396"/>
      <c r="D93" s="8" t="s">
        <v>49</v>
      </c>
      <c r="E93" s="72">
        <v>4200</v>
      </c>
    </row>
    <row r="94" spans="2:5" ht="15.75">
      <c r="B94" s="395" t="s">
        <v>333</v>
      </c>
      <c r="C94" s="396"/>
      <c r="D94" s="8" t="s">
        <v>334</v>
      </c>
      <c r="E94" s="72">
        <v>3000</v>
      </c>
    </row>
    <row r="95" spans="2:5" ht="15.75">
      <c r="B95" s="395" t="s">
        <v>335</v>
      </c>
      <c r="C95" s="396"/>
      <c r="D95" s="8" t="s">
        <v>336</v>
      </c>
      <c r="E95" s="72">
        <v>12000</v>
      </c>
    </row>
    <row r="96" spans="2:5" ht="15.75">
      <c r="B96" s="395" t="s">
        <v>30</v>
      </c>
      <c r="C96" s="396"/>
      <c r="D96" s="8" t="s">
        <v>29</v>
      </c>
      <c r="E96" s="72">
        <v>30000</v>
      </c>
    </row>
    <row r="97" spans="2:5" ht="15.75">
      <c r="B97" s="395" t="s">
        <v>52</v>
      </c>
      <c r="C97" s="396"/>
      <c r="D97" s="8" t="s">
        <v>53</v>
      </c>
      <c r="E97" s="72">
        <v>40000</v>
      </c>
    </row>
    <row r="98" spans="2:5" ht="15.75" customHeight="1">
      <c r="B98" s="395" t="s">
        <v>339</v>
      </c>
      <c r="C98" s="396"/>
      <c r="D98" s="8" t="s">
        <v>340</v>
      </c>
      <c r="E98" s="72">
        <v>1000</v>
      </c>
    </row>
    <row r="99" spans="2:5" ht="15.75" customHeight="1">
      <c r="B99" s="395" t="s">
        <v>5</v>
      </c>
      <c r="C99" s="396"/>
      <c r="D99" s="8" t="s">
        <v>4</v>
      </c>
      <c r="E99" s="72">
        <v>22800</v>
      </c>
    </row>
    <row r="100" spans="2:5" ht="15.75">
      <c r="B100" s="395" t="s">
        <v>287</v>
      </c>
      <c r="C100" s="396"/>
      <c r="D100" s="8" t="s">
        <v>281</v>
      </c>
      <c r="E100" s="72">
        <v>11000</v>
      </c>
    </row>
    <row r="101" spans="2:5" ht="15.75">
      <c r="B101" s="393" t="s">
        <v>22</v>
      </c>
      <c r="C101" s="394"/>
      <c r="D101" s="5"/>
      <c r="E101" s="73">
        <f>SUM(E87:E100)</f>
        <v>525000</v>
      </c>
    </row>
    <row r="103" spans="1:2" ht="15.75">
      <c r="A103" s="57" t="s">
        <v>184</v>
      </c>
      <c r="B103" s="61">
        <v>230</v>
      </c>
    </row>
    <row r="104" spans="1:5" ht="15.75">
      <c r="A104" s="57" t="s">
        <v>187</v>
      </c>
      <c r="B104" s="392" t="s">
        <v>131</v>
      </c>
      <c r="C104" s="392"/>
      <c r="D104" s="392"/>
      <c r="E104" s="392"/>
    </row>
    <row r="105" ht="15.75">
      <c r="D105" s="3" t="s">
        <v>186</v>
      </c>
    </row>
    <row r="106" spans="2:5" ht="15.75">
      <c r="B106" s="395" t="s">
        <v>344</v>
      </c>
      <c r="C106" s="396"/>
      <c r="D106" s="1" t="s">
        <v>50</v>
      </c>
      <c r="E106" s="72">
        <v>300000</v>
      </c>
    </row>
    <row r="107" spans="2:5" ht="15.75">
      <c r="B107" s="393" t="s">
        <v>22</v>
      </c>
      <c r="C107" s="394"/>
      <c r="D107" s="5"/>
      <c r="E107" s="73">
        <f>SUM(E106:E106)</f>
        <v>300000</v>
      </c>
    </row>
    <row r="108" spans="2:5" ht="15.75">
      <c r="B108" s="66"/>
      <c r="C108" s="66"/>
      <c r="D108" s="67"/>
      <c r="E108" s="75"/>
    </row>
    <row r="109" spans="1:2" ht="15.75">
      <c r="A109" s="57" t="s">
        <v>184</v>
      </c>
      <c r="B109" s="61" t="s">
        <v>208</v>
      </c>
    </row>
    <row r="110" spans="1:5" ht="15.75">
      <c r="A110" s="57" t="s">
        <v>187</v>
      </c>
      <c r="B110" s="392" t="s">
        <v>127</v>
      </c>
      <c r="C110" s="392"/>
      <c r="D110" s="392"/>
      <c r="E110" s="392"/>
    </row>
    <row r="111" spans="2:5" ht="15.75">
      <c r="B111" s="395" t="s">
        <v>209</v>
      </c>
      <c r="C111" s="396"/>
      <c r="D111" s="1"/>
      <c r="E111" s="72">
        <v>20900000</v>
      </c>
    </row>
    <row r="112" spans="2:5" ht="15.75">
      <c r="B112" s="395" t="s">
        <v>210</v>
      </c>
      <c r="C112" s="396"/>
      <c r="D112" s="1"/>
      <c r="E112" s="72">
        <v>3700000</v>
      </c>
    </row>
    <row r="113" spans="2:5" ht="15.75">
      <c r="B113" s="393" t="s">
        <v>22</v>
      </c>
      <c r="C113" s="394"/>
      <c r="D113" s="5"/>
      <c r="E113" s="73">
        <f>SUM(E111:E112)</f>
        <v>24600000</v>
      </c>
    </row>
    <row r="114" spans="2:5" ht="15.75">
      <c r="B114" s="66"/>
      <c r="C114" s="66"/>
      <c r="D114" s="67"/>
      <c r="E114" s="75"/>
    </row>
    <row r="115" spans="1:2" ht="15.75">
      <c r="A115" s="57" t="s">
        <v>184</v>
      </c>
      <c r="B115" s="61" t="s">
        <v>211</v>
      </c>
    </row>
    <row r="116" spans="1:5" ht="15.75">
      <c r="A116" s="57" t="s">
        <v>187</v>
      </c>
      <c r="B116" s="392" t="s">
        <v>212</v>
      </c>
      <c r="C116" s="392"/>
      <c r="D116" s="392"/>
      <c r="E116" s="392"/>
    </row>
    <row r="117" spans="2:5" ht="15.75">
      <c r="B117" s="395" t="s">
        <v>213</v>
      </c>
      <c r="C117" s="396"/>
      <c r="D117" s="1"/>
      <c r="E117" s="72">
        <v>4600000</v>
      </c>
    </row>
    <row r="118" spans="2:5" ht="15.75">
      <c r="B118" s="395" t="s">
        <v>214</v>
      </c>
      <c r="C118" s="396"/>
      <c r="D118" s="1"/>
      <c r="E118" s="72">
        <v>800000</v>
      </c>
    </row>
    <row r="119" spans="2:5" ht="15.75">
      <c r="B119" s="393" t="s">
        <v>22</v>
      </c>
      <c r="C119" s="394"/>
      <c r="D119" s="5"/>
      <c r="E119" s="73">
        <f>SUM(E117:E118)</f>
        <v>5400000</v>
      </c>
    </row>
    <row r="120" spans="2:5" ht="15.75">
      <c r="B120" s="66"/>
      <c r="C120" s="66"/>
      <c r="D120" s="67"/>
      <c r="E120" s="75"/>
    </row>
    <row r="121" spans="1:2" ht="15.75">
      <c r="A121" s="57" t="s">
        <v>184</v>
      </c>
      <c r="B121" s="61" t="s">
        <v>195</v>
      </c>
    </row>
    <row r="122" spans="1:5" ht="15.75">
      <c r="A122" s="57" t="s">
        <v>187</v>
      </c>
      <c r="B122" s="392" t="s">
        <v>196</v>
      </c>
      <c r="C122" s="392"/>
      <c r="D122" s="392"/>
      <c r="E122" s="392"/>
    </row>
    <row r="123" ht="15.75">
      <c r="D123" s="3" t="s">
        <v>186</v>
      </c>
    </row>
    <row r="124" spans="2:5" ht="15.75">
      <c r="B124" s="395" t="s">
        <v>38</v>
      </c>
      <c r="C124" s="396"/>
      <c r="D124" s="1" t="s">
        <v>39</v>
      </c>
      <c r="E124" s="72">
        <v>20000</v>
      </c>
    </row>
    <row r="125" spans="2:5" ht="15.75">
      <c r="B125" s="393" t="s">
        <v>22</v>
      </c>
      <c r="C125" s="394"/>
      <c r="D125" s="5"/>
      <c r="E125" s="73">
        <f>SUM(E124:E124)</f>
        <v>20000</v>
      </c>
    </row>
    <row r="127" spans="1:2" ht="15.75">
      <c r="A127" s="57" t="s">
        <v>184</v>
      </c>
      <c r="B127" s="61" t="s">
        <v>197</v>
      </c>
    </row>
    <row r="128" spans="1:5" ht="15.75">
      <c r="A128" s="57" t="s">
        <v>187</v>
      </c>
      <c r="B128" s="392" t="s">
        <v>199</v>
      </c>
      <c r="C128" s="392"/>
      <c r="D128" s="392"/>
      <c r="E128" s="392"/>
    </row>
    <row r="129" spans="2:4" ht="65.25" customHeight="1">
      <c r="B129" s="395" t="s">
        <v>207</v>
      </c>
      <c r="C129" s="396"/>
      <c r="D129" s="3" t="s">
        <v>198</v>
      </c>
    </row>
    <row r="130" spans="2:5" ht="51" customHeight="1">
      <c r="B130" s="395" t="s">
        <v>206</v>
      </c>
      <c r="C130" s="396"/>
      <c r="D130" s="1">
        <v>60</v>
      </c>
      <c r="E130" s="72">
        <v>50000</v>
      </c>
    </row>
    <row r="131" spans="2:5" ht="15.75">
      <c r="B131" s="393" t="s">
        <v>22</v>
      </c>
      <c r="C131" s="394"/>
      <c r="D131" s="5"/>
      <c r="E131" s="73">
        <f>SUM(E130:E130)</f>
        <v>50000</v>
      </c>
    </row>
    <row r="133" spans="1:2" ht="15.75">
      <c r="A133" s="57" t="s">
        <v>184</v>
      </c>
      <c r="B133" s="61">
        <v>280</v>
      </c>
    </row>
    <row r="134" spans="1:2" ht="15.75">
      <c r="A134" s="57" t="s">
        <v>187</v>
      </c>
      <c r="B134" s="9" t="s">
        <v>204</v>
      </c>
    </row>
    <row r="136" spans="2:5" ht="15.75">
      <c r="B136" s="399" t="s">
        <v>205</v>
      </c>
      <c r="C136" s="400"/>
      <c r="D136" s="59"/>
      <c r="E136" s="72">
        <v>8000</v>
      </c>
    </row>
    <row r="137" spans="2:5" ht="15.75">
      <c r="B137" s="393" t="s">
        <v>22</v>
      </c>
      <c r="C137" s="394"/>
      <c r="D137" s="5"/>
      <c r="E137" s="73">
        <f>SUM(E136:E136)</f>
        <v>8000</v>
      </c>
    </row>
    <row r="139" spans="1:2" ht="15.75">
      <c r="A139" s="57" t="s">
        <v>184</v>
      </c>
      <c r="B139" s="61" t="s">
        <v>200</v>
      </c>
    </row>
    <row r="140" spans="1:5" ht="15.75">
      <c r="A140" s="57" t="s">
        <v>187</v>
      </c>
      <c r="B140" s="392" t="s">
        <v>201</v>
      </c>
      <c r="C140" s="392"/>
      <c r="D140" s="392"/>
      <c r="E140" s="392"/>
    </row>
    <row r="141" spans="3:5" ht="15.75">
      <c r="C141" s="9" t="s">
        <v>58</v>
      </c>
      <c r="D141" s="64" t="s">
        <v>186</v>
      </c>
      <c r="E141" s="69" t="s">
        <v>59</v>
      </c>
    </row>
    <row r="142" spans="2:5" ht="15.75">
      <c r="B142" s="77" t="s">
        <v>346</v>
      </c>
      <c r="C142" s="4">
        <v>1</v>
      </c>
      <c r="D142" s="8" t="s">
        <v>347</v>
      </c>
      <c r="E142" s="72">
        <v>500000</v>
      </c>
    </row>
    <row r="143" spans="2:5" ht="15.75">
      <c r="B143" s="77" t="s">
        <v>351</v>
      </c>
      <c r="C143" s="4">
        <v>1</v>
      </c>
      <c r="D143" s="8" t="s">
        <v>348</v>
      </c>
      <c r="E143" s="72">
        <v>250000</v>
      </c>
    </row>
    <row r="144" spans="2:5" ht="15.75">
      <c r="B144" s="397" t="s">
        <v>22</v>
      </c>
      <c r="C144" s="398"/>
      <c r="D144" s="4"/>
      <c r="E144" s="60">
        <f>SUM(E142:E143)</f>
        <v>750000</v>
      </c>
    </row>
    <row r="146" spans="1:2" ht="15.75">
      <c r="A146" s="57" t="s">
        <v>184</v>
      </c>
      <c r="B146" s="61" t="s">
        <v>216</v>
      </c>
    </row>
    <row r="147" spans="1:5" ht="15.75">
      <c r="A147" s="57" t="s">
        <v>187</v>
      </c>
      <c r="B147" s="392" t="s">
        <v>217</v>
      </c>
      <c r="C147" s="392"/>
      <c r="D147" s="392"/>
      <c r="E147" s="392"/>
    </row>
    <row r="148" spans="3:5" ht="15.75">
      <c r="C148" s="9" t="s">
        <v>58</v>
      </c>
      <c r="D148" s="3"/>
      <c r="E148" s="69" t="s">
        <v>59</v>
      </c>
    </row>
    <row r="149" spans="2:5" ht="15.75">
      <c r="B149" s="134" t="s">
        <v>218</v>
      </c>
      <c r="C149" s="4">
        <v>1</v>
      </c>
      <c r="D149" s="1"/>
      <c r="E149" s="72">
        <v>600000</v>
      </c>
    </row>
    <row r="150" spans="2:5" ht="15.75">
      <c r="B150" s="397" t="s">
        <v>22</v>
      </c>
      <c r="C150" s="398"/>
      <c r="D150" s="4"/>
      <c r="E150" s="60">
        <f>SUM(E149:E149)</f>
        <v>600000</v>
      </c>
    </row>
    <row r="157" ht="15.75">
      <c r="E157" s="76"/>
    </row>
    <row r="158" ht="15.75">
      <c r="E158" s="76"/>
    </row>
    <row r="159" ht="15.75">
      <c r="E159" s="76"/>
    </row>
  </sheetData>
  <sheetProtection/>
  <mergeCells count="103">
    <mergeCell ref="B131:C131"/>
    <mergeCell ref="B124:C124"/>
    <mergeCell ref="B137:C137"/>
    <mergeCell ref="B140:E140"/>
    <mergeCell ref="B144:C144"/>
    <mergeCell ref="B147:E147"/>
    <mergeCell ref="B150:C150"/>
    <mergeCell ref="B125:C125"/>
    <mergeCell ref="B128:E128"/>
    <mergeCell ref="B129:C129"/>
    <mergeCell ref="B130:C130"/>
    <mergeCell ref="B110:E110"/>
    <mergeCell ref="B111:C111"/>
    <mergeCell ref="B112:C112"/>
    <mergeCell ref="B113:C113"/>
    <mergeCell ref="B136:C136"/>
    <mergeCell ref="B116:E116"/>
    <mergeCell ref="B117:C117"/>
    <mergeCell ref="B118:C118"/>
    <mergeCell ref="B119:C119"/>
    <mergeCell ref="B122:E122"/>
    <mergeCell ref="B99:C99"/>
    <mergeCell ref="B100:C100"/>
    <mergeCell ref="B101:C101"/>
    <mergeCell ref="B104:E104"/>
    <mergeCell ref="B106:C106"/>
    <mergeCell ref="B107:C107"/>
    <mergeCell ref="B93:C93"/>
    <mergeCell ref="B94:C94"/>
    <mergeCell ref="B95:C95"/>
    <mergeCell ref="B96:C96"/>
    <mergeCell ref="B97:C97"/>
    <mergeCell ref="B98:C98"/>
    <mergeCell ref="B87:C87"/>
    <mergeCell ref="B88:C88"/>
    <mergeCell ref="B89:C89"/>
    <mergeCell ref="B90:C90"/>
    <mergeCell ref="B91:C91"/>
    <mergeCell ref="B92:C92"/>
    <mergeCell ref="B75:C75"/>
    <mergeCell ref="B76:C76"/>
    <mergeCell ref="B79:E79"/>
    <mergeCell ref="B81:C81"/>
    <mergeCell ref="B82:C82"/>
    <mergeCell ref="B85:E85"/>
    <mergeCell ref="B66:C66"/>
    <mergeCell ref="B67:C67"/>
    <mergeCell ref="B70:E70"/>
    <mergeCell ref="B72:C72"/>
    <mergeCell ref="B73:C73"/>
    <mergeCell ref="B74:C74"/>
    <mergeCell ref="B39:C39"/>
    <mergeCell ref="B40:C40"/>
    <mergeCell ref="B41:C41"/>
    <mergeCell ref="B60:C60"/>
    <mergeCell ref="B63:E63"/>
    <mergeCell ref="B65:C65"/>
    <mergeCell ref="B42:C42"/>
    <mergeCell ref="B43:C43"/>
    <mergeCell ref="B44:C44"/>
    <mergeCell ref="B45:C45"/>
    <mergeCell ref="B29:C29"/>
    <mergeCell ref="B38:C38"/>
    <mergeCell ref="B36:C36"/>
    <mergeCell ref="B37:C37"/>
    <mergeCell ref="B34:C34"/>
    <mergeCell ref="B35:C35"/>
    <mergeCell ref="B18:C18"/>
    <mergeCell ref="B23:E23"/>
    <mergeCell ref="B25:C25"/>
    <mergeCell ref="B26:C26"/>
    <mergeCell ref="B27:C27"/>
    <mergeCell ref="B28:C28"/>
    <mergeCell ref="B2:D2"/>
    <mergeCell ref="B3:D3"/>
    <mergeCell ref="B4:D4"/>
    <mergeCell ref="B8:E8"/>
    <mergeCell ref="B10:C10"/>
    <mergeCell ref="B11:C11"/>
    <mergeCell ref="B12:C12"/>
    <mergeCell ref="B13:C13"/>
    <mergeCell ref="B30:C30"/>
    <mergeCell ref="B31:C31"/>
    <mergeCell ref="B32:C32"/>
    <mergeCell ref="B33:C33"/>
    <mergeCell ref="B14:C14"/>
    <mergeCell ref="B15:C15"/>
    <mergeCell ref="B16:C16"/>
    <mergeCell ref="B17:C17"/>
    <mergeCell ref="B46:C46"/>
    <mergeCell ref="B47:C47"/>
    <mergeCell ref="B48:C48"/>
    <mergeCell ref="B49:C49"/>
    <mergeCell ref="B50:C50"/>
    <mergeCell ref="B51:C51"/>
    <mergeCell ref="B58:C58"/>
    <mergeCell ref="B59:C59"/>
    <mergeCell ref="B52:C52"/>
    <mergeCell ref="B53:C53"/>
    <mergeCell ref="B54:C54"/>
    <mergeCell ref="B55:C55"/>
    <mergeCell ref="B56:C56"/>
    <mergeCell ref="B57:C57"/>
  </mergeCells>
  <dataValidations count="3">
    <dataValidation type="decimal" allowBlank="1" showInputMessage="1" showErrorMessage="1" errorTitle="Очікувана вартість" error="Очікувана вартість предмета закупівлі - тілько число" sqref="E49:E58 E87:E100 D106:E106 D89 D91:D92">
      <formula1>0</formula1>
      <formula2>1E+32</formula2>
    </dataValidation>
    <dataValidation type="textLength" allowBlank="1" showInputMessage="1" showErrorMessage="1" promptTitle="обов'язкове" prompt="обов'язкове" sqref="B49:C56 D100 D124 D130 D112 D118 D81 D25:D26 B97:C98 B94:C95 B142:B143">
      <formula1>1</formula1>
      <formula2>200000</formula2>
    </dataValidation>
    <dataValidation allowBlank="1" showInputMessage="1" showErrorMessage="1" promptTitle="обов'язкове" prompt="обов'язкове" sqref="D142:D143"/>
  </dataValidations>
  <printOptions/>
  <pageMargins left="0.1968503937007874" right="0.1968503937007874" top="0.1968503937007874" bottom="0.1968503937007874" header="0.1968503937007874" footer="0.196850393700787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F76"/>
  <sheetViews>
    <sheetView zoomScalePageLayoutView="0" workbookViewId="0" topLeftCell="A43">
      <selection activeCell="A63" sqref="A63:IV63"/>
    </sheetView>
  </sheetViews>
  <sheetFormatPr defaultColWidth="9.140625" defaultRowHeight="15"/>
  <cols>
    <col min="1" max="1" width="48.28125" style="265" customWidth="1"/>
    <col min="2" max="2" width="27.8515625" style="265" customWidth="1"/>
    <col min="3" max="3" width="59.8515625" style="265" customWidth="1"/>
    <col min="4" max="4" width="22.57421875" style="265" bestFit="1" customWidth="1"/>
    <col min="5" max="5" width="11.00390625" style="265" bestFit="1" customWidth="1"/>
    <col min="6" max="16384" width="9.140625" style="265" customWidth="1"/>
  </cols>
  <sheetData>
    <row r="1" spans="1:6" ht="45.75" thickBot="1">
      <c r="A1" s="263" t="s">
        <v>504</v>
      </c>
      <c r="B1" s="263" t="s">
        <v>505</v>
      </c>
      <c r="C1" s="264" t="s">
        <v>506</v>
      </c>
      <c r="D1" s="264" t="s">
        <v>507</v>
      </c>
      <c r="E1" s="263" t="s">
        <v>508</v>
      </c>
      <c r="F1" s="263" t="s">
        <v>509</v>
      </c>
    </row>
    <row r="2" spans="1:6" s="270" customFormat="1" ht="15" customHeight="1" thickBot="1">
      <c r="A2" s="266" t="s">
        <v>510</v>
      </c>
      <c r="B2" s="267" t="s">
        <v>511</v>
      </c>
      <c r="C2" s="268" t="s">
        <v>512</v>
      </c>
      <c r="D2" s="267"/>
      <c r="E2" s="266" t="s">
        <v>513</v>
      </c>
      <c r="F2" s="269">
        <v>43831</v>
      </c>
    </row>
    <row r="3" spans="1:6" ht="15" customHeight="1" thickBot="1">
      <c r="A3" s="271" t="s">
        <v>514</v>
      </c>
      <c r="B3" s="272" t="s">
        <v>515</v>
      </c>
      <c r="C3" s="273" t="s">
        <v>516</v>
      </c>
      <c r="D3" s="274" t="s">
        <v>517</v>
      </c>
      <c r="E3" s="271" t="s">
        <v>518</v>
      </c>
      <c r="F3" s="275">
        <v>43831</v>
      </c>
    </row>
    <row r="4" spans="1:6" ht="15" customHeight="1" thickBot="1">
      <c r="A4" s="271" t="s">
        <v>519</v>
      </c>
      <c r="B4" s="272" t="s">
        <v>520</v>
      </c>
      <c r="C4" s="273" t="s">
        <v>521</v>
      </c>
      <c r="D4" s="272"/>
      <c r="E4" s="271" t="s">
        <v>522</v>
      </c>
      <c r="F4" s="275">
        <v>43831</v>
      </c>
    </row>
    <row r="5" spans="1:6" ht="15" customHeight="1" thickBot="1">
      <c r="A5" s="276" t="s">
        <v>523</v>
      </c>
      <c r="B5" s="277" t="s">
        <v>501</v>
      </c>
      <c r="C5" s="278" t="s">
        <v>524</v>
      </c>
      <c r="D5" s="279" t="s">
        <v>503</v>
      </c>
      <c r="E5" s="276" t="s">
        <v>525</v>
      </c>
      <c r="F5" s="280">
        <v>43831</v>
      </c>
    </row>
    <row r="6" spans="1:6" ht="15" customHeight="1" thickBot="1">
      <c r="A6" s="276" t="s">
        <v>526</v>
      </c>
      <c r="B6" s="277" t="s">
        <v>527</v>
      </c>
      <c r="C6" s="278" t="s">
        <v>528</v>
      </c>
      <c r="D6" s="277"/>
      <c r="E6" s="276" t="s">
        <v>529</v>
      </c>
      <c r="F6" s="280">
        <v>43831</v>
      </c>
    </row>
    <row r="7" spans="1:6" s="270" customFormat="1" ht="15" customHeight="1" thickBot="1">
      <c r="A7" s="266" t="s">
        <v>530</v>
      </c>
      <c r="B7" s="267" t="s">
        <v>531</v>
      </c>
      <c r="C7" s="268" t="s">
        <v>532</v>
      </c>
      <c r="D7" s="281" t="s">
        <v>533</v>
      </c>
      <c r="E7" s="266" t="s">
        <v>534</v>
      </c>
      <c r="F7" s="269">
        <v>43831</v>
      </c>
    </row>
    <row r="8" spans="1:6" ht="15" customHeight="1" thickBot="1">
      <c r="A8" s="271" t="s">
        <v>535</v>
      </c>
      <c r="B8" s="272" t="s">
        <v>536</v>
      </c>
      <c r="C8" s="273" t="s">
        <v>537</v>
      </c>
      <c r="D8" s="272"/>
      <c r="E8" s="271" t="s">
        <v>538</v>
      </c>
      <c r="F8" s="275">
        <v>43831</v>
      </c>
    </row>
    <row r="9" spans="1:6" ht="15" customHeight="1" thickBot="1">
      <c r="A9" s="276" t="s">
        <v>539</v>
      </c>
      <c r="B9" s="277" t="s">
        <v>540</v>
      </c>
      <c r="C9" s="278" t="s">
        <v>541</v>
      </c>
      <c r="D9" s="277"/>
      <c r="E9" s="276" t="s">
        <v>542</v>
      </c>
      <c r="F9" s="280">
        <v>43831</v>
      </c>
    </row>
    <row r="10" spans="1:6" ht="15" customHeight="1" thickBot="1">
      <c r="A10" s="271" t="s">
        <v>543</v>
      </c>
      <c r="B10" s="272" t="s">
        <v>544</v>
      </c>
      <c r="C10" s="273" t="s">
        <v>545</v>
      </c>
      <c r="D10" s="272"/>
      <c r="E10" s="271" t="s">
        <v>546</v>
      </c>
      <c r="F10" s="275">
        <v>43831</v>
      </c>
    </row>
    <row r="11" spans="1:6" ht="15" customHeight="1" thickBot="1">
      <c r="A11" s="276" t="s">
        <v>547</v>
      </c>
      <c r="B11" s="277" t="s">
        <v>548</v>
      </c>
      <c r="C11" s="278" t="s">
        <v>549</v>
      </c>
      <c r="D11" s="277"/>
      <c r="E11" s="276" t="s">
        <v>550</v>
      </c>
      <c r="F11" s="280">
        <v>43831</v>
      </c>
    </row>
    <row r="12" spans="1:6" ht="15" customHeight="1" thickBot="1">
      <c r="A12" s="271" t="s">
        <v>551</v>
      </c>
      <c r="B12" s="272" t="s">
        <v>552</v>
      </c>
      <c r="C12" s="273" t="s">
        <v>553</v>
      </c>
      <c r="D12" s="272"/>
      <c r="E12" s="271" t="s">
        <v>554</v>
      </c>
      <c r="F12" s="275">
        <v>44075</v>
      </c>
    </row>
    <row r="13" spans="1:6" ht="15" customHeight="1" thickBot="1">
      <c r="A13" s="276" t="s">
        <v>555</v>
      </c>
      <c r="B13" s="277" t="s">
        <v>556</v>
      </c>
      <c r="C13" s="278" t="s">
        <v>557</v>
      </c>
      <c r="D13" s="277"/>
      <c r="E13" s="276" t="s">
        <v>558</v>
      </c>
      <c r="F13" s="280">
        <v>43831</v>
      </c>
    </row>
    <row r="14" spans="1:6" ht="15" customHeight="1" thickBot="1">
      <c r="A14" s="271" t="s">
        <v>559</v>
      </c>
      <c r="B14" s="272" t="s">
        <v>560</v>
      </c>
      <c r="C14" s="273" t="s">
        <v>561</v>
      </c>
      <c r="D14" s="272"/>
      <c r="E14" s="271" t="s">
        <v>558</v>
      </c>
      <c r="F14" s="275">
        <v>43831</v>
      </c>
    </row>
    <row r="15" spans="1:6" ht="15" customHeight="1" thickBot="1">
      <c r="A15" s="276" t="s">
        <v>562</v>
      </c>
      <c r="B15" s="277" t="s">
        <v>563</v>
      </c>
      <c r="C15" s="278" t="s">
        <v>564</v>
      </c>
      <c r="D15" s="277"/>
      <c r="E15" s="276" t="s">
        <v>565</v>
      </c>
      <c r="F15" s="280">
        <v>43831</v>
      </c>
    </row>
    <row r="16" spans="1:6" ht="15" customHeight="1" thickBot="1">
      <c r="A16" s="271" t="s">
        <v>566</v>
      </c>
      <c r="B16" s="272" t="s">
        <v>567</v>
      </c>
      <c r="C16" s="273" t="s">
        <v>568</v>
      </c>
      <c r="D16" s="272"/>
      <c r="E16" s="271" t="s">
        <v>546</v>
      </c>
      <c r="F16" s="275">
        <v>43831</v>
      </c>
    </row>
    <row r="17" spans="1:6" ht="15" customHeight="1" thickBot="1">
      <c r="A17" s="276" t="s">
        <v>569</v>
      </c>
      <c r="B17" s="277" t="s">
        <v>570</v>
      </c>
      <c r="C17" s="278" t="s">
        <v>571</v>
      </c>
      <c r="D17" s="277"/>
      <c r="E17" s="276" t="s">
        <v>572</v>
      </c>
      <c r="F17" s="280">
        <v>43831</v>
      </c>
    </row>
    <row r="18" spans="1:6" ht="15" customHeight="1" thickBot="1">
      <c r="A18" s="276" t="s">
        <v>573</v>
      </c>
      <c r="B18" s="277" t="s">
        <v>574</v>
      </c>
      <c r="C18" s="278" t="s">
        <v>575</v>
      </c>
      <c r="D18" s="277"/>
      <c r="E18" s="276" t="s">
        <v>576</v>
      </c>
      <c r="F18" s="280">
        <v>43831</v>
      </c>
    </row>
    <row r="19" spans="1:6" ht="15" customHeight="1" thickBot="1">
      <c r="A19" s="276" t="s">
        <v>577</v>
      </c>
      <c r="B19" s="277" t="s">
        <v>578</v>
      </c>
      <c r="C19" s="278" t="s">
        <v>579</v>
      </c>
      <c r="D19" s="277"/>
      <c r="E19" s="276" t="s">
        <v>558</v>
      </c>
      <c r="F19" s="280">
        <v>43831</v>
      </c>
    </row>
    <row r="20" spans="1:6" ht="15" customHeight="1" thickBot="1">
      <c r="A20" s="276" t="s">
        <v>580</v>
      </c>
      <c r="B20" s="277" t="s">
        <v>581</v>
      </c>
      <c r="C20" s="278" t="s">
        <v>582</v>
      </c>
      <c r="D20" s="277"/>
      <c r="E20" s="276" t="s">
        <v>583</v>
      </c>
      <c r="F20" s="280">
        <v>43831</v>
      </c>
    </row>
    <row r="21" spans="1:6" ht="15" customHeight="1" thickBot="1">
      <c r="A21" s="276" t="s">
        <v>584</v>
      </c>
      <c r="B21" s="277" t="s">
        <v>585</v>
      </c>
      <c r="C21" s="278" t="s">
        <v>586</v>
      </c>
      <c r="D21" s="277"/>
      <c r="E21" s="276" t="s">
        <v>587</v>
      </c>
      <c r="F21" s="280">
        <v>43831</v>
      </c>
    </row>
    <row r="22" spans="1:6" ht="15" customHeight="1" thickBot="1">
      <c r="A22" s="276" t="s">
        <v>588</v>
      </c>
      <c r="B22" s="277" t="s">
        <v>589</v>
      </c>
      <c r="C22" s="278" t="s">
        <v>590</v>
      </c>
      <c r="D22" s="277"/>
      <c r="E22" s="276" t="s">
        <v>591</v>
      </c>
      <c r="F22" s="280">
        <v>43831</v>
      </c>
    </row>
    <row r="23" spans="1:6" ht="15" customHeight="1" thickBot="1">
      <c r="A23" s="271" t="s">
        <v>592</v>
      </c>
      <c r="B23" s="272" t="s">
        <v>593</v>
      </c>
      <c r="C23" s="273" t="s">
        <v>594</v>
      </c>
      <c r="D23" s="272"/>
      <c r="E23" s="271" t="s">
        <v>591</v>
      </c>
      <c r="F23" s="275">
        <v>43831</v>
      </c>
    </row>
    <row r="24" spans="1:6" ht="15" customHeight="1" thickBot="1">
      <c r="A24" s="271" t="s">
        <v>595</v>
      </c>
      <c r="B24" s="272" t="s">
        <v>596</v>
      </c>
      <c r="C24" s="273" t="s">
        <v>597</v>
      </c>
      <c r="D24" s="272"/>
      <c r="E24" s="271" t="s">
        <v>598</v>
      </c>
      <c r="F24" s="275">
        <v>43831</v>
      </c>
    </row>
    <row r="25" spans="1:6" ht="15" customHeight="1" thickBot="1">
      <c r="A25" s="271" t="s">
        <v>599</v>
      </c>
      <c r="B25" s="272" t="s">
        <v>600</v>
      </c>
      <c r="C25" s="273" t="s">
        <v>601</v>
      </c>
      <c r="D25" s="272"/>
      <c r="E25" s="271" t="s">
        <v>602</v>
      </c>
      <c r="F25" s="275">
        <v>43831</v>
      </c>
    </row>
    <row r="26" spans="1:6" ht="15" customHeight="1" thickBot="1">
      <c r="A26" s="271" t="s">
        <v>603</v>
      </c>
      <c r="B26" s="272" t="s">
        <v>604</v>
      </c>
      <c r="C26" s="273" t="s">
        <v>605</v>
      </c>
      <c r="D26" s="272"/>
      <c r="E26" s="271" t="s">
        <v>606</v>
      </c>
      <c r="F26" s="275">
        <v>43831</v>
      </c>
    </row>
    <row r="27" spans="1:6" s="270" customFormat="1" ht="15" customHeight="1" thickBot="1">
      <c r="A27" s="266" t="s">
        <v>603</v>
      </c>
      <c r="B27" s="267" t="s">
        <v>607</v>
      </c>
      <c r="C27" s="268" t="s">
        <v>608</v>
      </c>
      <c r="D27" s="267"/>
      <c r="E27" s="266" t="s">
        <v>609</v>
      </c>
      <c r="F27" s="269">
        <v>44105</v>
      </c>
    </row>
    <row r="28" spans="1:6" ht="15" customHeight="1" thickBot="1">
      <c r="A28" s="276" t="s">
        <v>610</v>
      </c>
      <c r="B28" s="277" t="s">
        <v>611</v>
      </c>
      <c r="C28" s="278" t="s">
        <v>612</v>
      </c>
      <c r="D28" s="277"/>
      <c r="E28" s="276" t="s">
        <v>538</v>
      </c>
      <c r="F28" s="280">
        <v>43831</v>
      </c>
    </row>
    <row r="29" spans="1:6" ht="15" customHeight="1" thickBot="1">
      <c r="A29" s="271" t="s">
        <v>613</v>
      </c>
      <c r="B29" s="272" t="s">
        <v>614</v>
      </c>
      <c r="C29" s="273" t="s">
        <v>615</v>
      </c>
      <c r="D29" s="272"/>
      <c r="E29" s="271" t="s">
        <v>606</v>
      </c>
      <c r="F29" s="275">
        <v>43831</v>
      </c>
    </row>
    <row r="30" spans="1:6" s="270" customFormat="1" ht="15" customHeight="1" thickBot="1">
      <c r="A30" s="266" t="s">
        <v>613</v>
      </c>
      <c r="B30" s="267" t="s">
        <v>616</v>
      </c>
      <c r="C30" s="268" t="s">
        <v>617</v>
      </c>
      <c r="D30" s="267"/>
      <c r="E30" s="266" t="s">
        <v>609</v>
      </c>
      <c r="F30" s="269">
        <v>43831</v>
      </c>
    </row>
    <row r="31" spans="1:6" ht="15" customHeight="1" thickBot="1">
      <c r="A31" s="276" t="s">
        <v>618</v>
      </c>
      <c r="B31" s="277" t="s">
        <v>619</v>
      </c>
      <c r="C31" s="278" t="s">
        <v>620</v>
      </c>
      <c r="D31" s="277"/>
      <c r="E31" s="276" t="s">
        <v>621</v>
      </c>
      <c r="F31" s="280">
        <v>43831</v>
      </c>
    </row>
    <row r="32" spans="1:6" ht="15" customHeight="1" thickBot="1">
      <c r="A32" s="271" t="s">
        <v>622</v>
      </c>
      <c r="B32" s="272" t="s">
        <v>623</v>
      </c>
      <c r="C32" s="273" t="s">
        <v>624</v>
      </c>
      <c r="D32" s="272"/>
      <c r="E32" s="271" t="s">
        <v>625</v>
      </c>
      <c r="F32" s="275">
        <v>43831</v>
      </c>
    </row>
    <row r="33" spans="1:6" ht="15" customHeight="1" thickBot="1">
      <c r="A33" s="271" t="s">
        <v>626</v>
      </c>
      <c r="B33" s="272" t="s">
        <v>627</v>
      </c>
      <c r="C33" s="273" t="s">
        <v>628</v>
      </c>
      <c r="D33" s="272"/>
      <c r="E33" s="271" t="s">
        <v>554</v>
      </c>
      <c r="F33" s="275">
        <v>43831</v>
      </c>
    </row>
    <row r="34" spans="1:6" ht="15" customHeight="1" thickBot="1">
      <c r="A34" s="276" t="s">
        <v>629</v>
      </c>
      <c r="B34" s="277" t="s">
        <v>630</v>
      </c>
      <c r="C34" s="278" t="s">
        <v>631</v>
      </c>
      <c r="D34" s="277"/>
      <c r="E34" s="276" t="s">
        <v>583</v>
      </c>
      <c r="F34" s="280">
        <v>43831</v>
      </c>
    </row>
    <row r="35" spans="1:6" ht="15" customHeight="1" thickBot="1">
      <c r="A35" s="271" t="s">
        <v>632</v>
      </c>
      <c r="B35" s="272" t="s">
        <v>633</v>
      </c>
      <c r="C35" s="273" t="s">
        <v>634</v>
      </c>
      <c r="D35" s="272"/>
      <c r="E35" s="271" t="s">
        <v>635</v>
      </c>
      <c r="F35" s="275">
        <v>43831</v>
      </c>
    </row>
    <row r="36" spans="1:6" ht="15" customHeight="1" thickBot="1">
      <c r="A36" s="271" t="s">
        <v>636</v>
      </c>
      <c r="B36" s="272" t="s">
        <v>637</v>
      </c>
      <c r="C36" s="273" t="s">
        <v>638</v>
      </c>
      <c r="D36" s="272"/>
      <c r="E36" s="271" t="s">
        <v>621</v>
      </c>
      <c r="F36" s="275">
        <v>43831</v>
      </c>
    </row>
    <row r="37" spans="1:6" ht="15" customHeight="1" thickBot="1">
      <c r="A37" s="276" t="s">
        <v>639</v>
      </c>
      <c r="B37" s="277" t="s">
        <v>640</v>
      </c>
      <c r="C37" s="278" t="s">
        <v>641</v>
      </c>
      <c r="D37" s="277"/>
      <c r="E37" s="276" t="s">
        <v>546</v>
      </c>
      <c r="F37" s="280">
        <v>43831</v>
      </c>
    </row>
    <row r="38" spans="1:6" ht="15" customHeight="1" thickBot="1">
      <c r="A38" s="271" t="s">
        <v>642</v>
      </c>
      <c r="B38" s="272" t="s">
        <v>643</v>
      </c>
      <c r="C38" s="273" t="s">
        <v>644</v>
      </c>
      <c r="D38" s="272"/>
      <c r="E38" s="271" t="s">
        <v>546</v>
      </c>
      <c r="F38" s="275">
        <v>43831</v>
      </c>
    </row>
    <row r="39" spans="1:6" ht="15" customHeight="1" thickBot="1">
      <c r="A39" s="276" t="s">
        <v>645</v>
      </c>
      <c r="B39" s="277" t="s">
        <v>646</v>
      </c>
      <c r="C39" s="278" t="s">
        <v>647</v>
      </c>
      <c r="D39" s="277"/>
      <c r="E39" s="276" t="s">
        <v>546</v>
      </c>
      <c r="F39" s="280">
        <v>43831</v>
      </c>
    </row>
    <row r="40" spans="1:6" ht="15" customHeight="1" thickBot="1">
      <c r="A40" s="271" t="s">
        <v>648</v>
      </c>
      <c r="B40" s="272" t="s">
        <v>649</v>
      </c>
      <c r="C40" s="273" t="s">
        <v>650</v>
      </c>
      <c r="D40" s="272"/>
      <c r="E40" s="271" t="s">
        <v>546</v>
      </c>
      <c r="F40" s="275">
        <v>43831</v>
      </c>
    </row>
    <row r="41" spans="1:6" ht="15" customHeight="1" thickBot="1">
      <c r="A41" s="276" t="s">
        <v>651</v>
      </c>
      <c r="B41" s="277" t="s">
        <v>652</v>
      </c>
      <c r="C41" s="278" t="s">
        <v>653</v>
      </c>
      <c r="D41" s="277"/>
      <c r="E41" s="276" t="s">
        <v>529</v>
      </c>
      <c r="F41" s="280">
        <v>43831</v>
      </c>
    </row>
    <row r="42" spans="1:6" ht="15" customHeight="1" thickBot="1">
      <c r="A42" s="271" t="s">
        <v>654</v>
      </c>
      <c r="B42" s="272" t="s">
        <v>655</v>
      </c>
      <c r="C42" s="273" t="s">
        <v>656</v>
      </c>
      <c r="D42" s="272"/>
      <c r="E42" s="271" t="s">
        <v>657</v>
      </c>
      <c r="F42" s="275">
        <v>43831</v>
      </c>
    </row>
    <row r="43" spans="1:6" ht="15" customHeight="1" thickBot="1">
      <c r="A43" s="276" t="s">
        <v>658</v>
      </c>
      <c r="B43" s="277" t="s">
        <v>659</v>
      </c>
      <c r="C43" s="278" t="s">
        <v>660</v>
      </c>
      <c r="D43" s="277"/>
      <c r="E43" s="276" t="s">
        <v>661</v>
      </c>
      <c r="F43" s="280">
        <v>43831</v>
      </c>
    </row>
    <row r="44" spans="1:6" ht="15" customHeight="1" thickBot="1">
      <c r="A44" s="276" t="s">
        <v>662</v>
      </c>
      <c r="B44" s="277" t="s">
        <v>663</v>
      </c>
      <c r="C44" s="278" t="s">
        <v>664</v>
      </c>
      <c r="D44" s="277"/>
      <c r="E44" s="276" t="s">
        <v>665</v>
      </c>
      <c r="F44" s="280">
        <v>43831</v>
      </c>
    </row>
    <row r="45" spans="1:6" ht="15" customHeight="1" thickBot="1">
      <c r="A45" s="271" t="s">
        <v>666</v>
      </c>
      <c r="B45" s="272" t="s">
        <v>667</v>
      </c>
      <c r="C45" s="273" t="s">
        <v>668</v>
      </c>
      <c r="D45" s="272"/>
      <c r="E45" s="271" t="s">
        <v>621</v>
      </c>
      <c r="F45" s="275">
        <v>43831</v>
      </c>
    </row>
    <row r="46" spans="1:6" ht="15" customHeight="1" thickBot="1">
      <c r="A46" s="271" t="s">
        <v>669</v>
      </c>
      <c r="B46" s="272" t="s">
        <v>670</v>
      </c>
      <c r="C46" s="273" t="s">
        <v>671</v>
      </c>
      <c r="D46" s="272"/>
      <c r="E46" s="271" t="s">
        <v>598</v>
      </c>
      <c r="F46" s="275">
        <v>43831</v>
      </c>
    </row>
    <row r="47" spans="1:6" s="270" customFormat="1" ht="15" customHeight="1" thickBot="1">
      <c r="A47" s="266" t="s">
        <v>672</v>
      </c>
      <c r="B47" s="267" t="s">
        <v>673</v>
      </c>
      <c r="C47" s="268" t="s">
        <v>674</v>
      </c>
      <c r="D47" s="267"/>
      <c r="E47" s="266" t="s">
        <v>675</v>
      </c>
      <c r="F47" s="269">
        <v>43831</v>
      </c>
    </row>
    <row r="48" spans="1:6" ht="15" customHeight="1" thickBot="1">
      <c r="A48" s="276" t="s">
        <v>676</v>
      </c>
      <c r="B48" s="277" t="s">
        <v>677</v>
      </c>
      <c r="C48" s="278" t="s">
        <v>678</v>
      </c>
      <c r="D48" s="277"/>
      <c r="E48" s="276" t="s">
        <v>572</v>
      </c>
      <c r="F48" s="280">
        <v>43831</v>
      </c>
    </row>
    <row r="49" spans="1:6" ht="15" customHeight="1" thickBot="1">
      <c r="A49" s="271" t="s">
        <v>679</v>
      </c>
      <c r="B49" s="272" t="s">
        <v>680</v>
      </c>
      <c r="C49" s="273" t="s">
        <v>681</v>
      </c>
      <c r="D49" s="272"/>
      <c r="E49" s="271" t="s">
        <v>558</v>
      </c>
      <c r="F49" s="275">
        <v>43831</v>
      </c>
    </row>
    <row r="50" spans="1:6" ht="15" customHeight="1" thickBot="1">
      <c r="A50" s="271" t="s">
        <v>682</v>
      </c>
      <c r="B50" s="272" t="s">
        <v>683</v>
      </c>
      <c r="C50" s="273" t="s">
        <v>684</v>
      </c>
      <c r="D50" s="272"/>
      <c r="E50" s="271" t="s">
        <v>685</v>
      </c>
      <c r="F50" s="275">
        <v>43831</v>
      </c>
    </row>
    <row r="51" spans="1:6" ht="15" customHeight="1" thickBot="1">
      <c r="A51" s="276" t="s">
        <v>686</v>
      </c>
      <c r="B51" s="277" t="s">
        <v>687</v>
      </c>
      <c r="C51" s="278" t="s">
        <v>688</v>
      </c>
      <c r="D51" s="277"/>
      <c r="E51" s="276" t="s">
        <v>550</v>
      </c>
      <c r="F51" s="280">
        <v>43831</v>
      </c>
    </row>
    <row r="52" spans="1:6" ht="15" customHeight="1" thickBot="1">
      <c r="A52" s="276" t="s">
        <v>689</v>
      </c>
      <c r="B52" s="277" t="s">
        <v>690</v>
      </c>
      <c r="C52" s="278" t="s">
        <v>691</v>
      </c>
      <c r="D52" s="277"/>
      <c r="E52" s="276" t="s">
        <v>692</v>
      </c>
      <c r="F52" s="280">
        <v>43831</v>
      </c>
    </row>
    <row r="53" spans="1:6" ht="15" customHeight="1" thickBot="1">
      <c r="A53" s="271" t="s">
        <v>693</v>
      </c>
      <c r="B53" s="272" t="s">
        <v>694</v>
      </c>
      <c r="C53" s="273" t="s">
        <v>695</v>
      </c>
      <c r="D53" s="272"/>
      <c r="E53" s="271" t="s">
        <v>529</v>
      </c>
      <c r="F53" s="275">
        <v>43831</v>
      </c>
    </row>
    <row r="54" spans="1:6" ht="15" customHeight="1" thickBot="1">
      <c r="A54" s="271" t="s">
        <v>696</v>
      </c>
      <c r="B54" s="272" t="s">
        <v>697</v>
      </c>
      <c r="C54" s="273" t="s">
        <v>698</v>
      </c>
      <c r="D54" s="272"/>
      <c r="E54" s="271" t="s">
        <v>550</v>
      </c>
      <c r="F54" s="275">
        <v>43831</v>
      </c>
    </row>
    <row r="55" spans="1:6" ht="15" customHeight="1" thickBot="1">
      <c r="A55" s="276" t="s">
        <v>699</v>
      </c>
      <c r="B55" s="277" t="s">
        <v>700</v>
      </c>
      <c r="C55" s="278" t="s">
        <v>701</v>
      </c>
      <c r="D55" s="277"/>
      <c r="E55" s="276" t="s">
        <v>657</v>
      </c>
      <c r="F55" s="280">
        <v>43831</v>
      </c>
    </row>
    <row r="56" spans="1:6" s="270" customFormat="1" ht="15" customHeight="1" thickBot="1">
      <c r="A56" s="266" t="s">
        <v>702</v>
      </c>
      <c r="B56" s="267" t="s">
        <v>703</v>
      </c>
      <c r="C56" s="268" t="s">
        <v>704</v>
      </c>
      <c r="D56" s="267"/>
      <c r="E56" s="266" t="s">
        <v>705</v>
      </c>
      <c r="F56" s="269">
        <v>43831</v>
      </c>
    </row>
    <row r="57" spans="1:6" ht="15" customHeight="1" thickBot="1">
      <c r="A57" s="276" t="s">
        <v>706</v>
      </c>
      <c r="B57" s="277" t="s">
        <v>707</v>
      </c>
      <c r="C57" s="278" t="s">
        <v>708</v>
      </c>
      <c r="D57" s="277"/>
      <c r="E57" s="276" t="s">
        <v>558</v>
      </c>
      <c r="F57" s="280">
        <v>43831</v>
      </c>
    </row>
    <row r="58" spans="1:6" ht="15" customHeight="1" thickBot="1">
      <c r="A58" s="271" t="s">
        <v>709</v>
      </c>
      <c r="B58" s="272" t="s">
        <v>710</v>
      </c>
      <c r="C58" s="273" t="s">
        <v>711</v>
      </c>
      <c r="D58" s="272"/>
      <c r="E58" s="271" t="s">
        <v>712</v>
      </c>
      <c r="F58" s="275">
        <v>43831</v>
      </c>
    </row>
    <row r="59" spans="1:6" ht="15" customHeight="1" thickBot="1">
      <c r="A59" s="276" t="s">
        <v>713</v>
      </c>
      <c r="B59" s="277" t="s">
        <v>714</v>
      </c>
      <c r="C59" s="278" t="s">
        <v>715</v>
      </c>
      <c r="D59" s="277"/>
      <c r="E59" s="276" t="s">
        <v>716</v>
      </c>
      <c r="F59" s="280">
        <v>43831</v>
      </c>
    </row>
    <row r="60" spans="1:6" ht="15" customHeight="1" thickBot="1">
      <c r="A60" s="271" t="s">
        <v>717</v>
      </c>
      <c r="B60" s="272" t="s">
        <v>718</v>
      </c>
      <c r="C60" s="273" t="s">
        <v>719</v>
      </c>
      <c r="D60" s="272"/>
      <c r="E60" s="271" t="s">
        <v>598</v>
      </c>
      <c r="F60" s="275">
        <v>43831</v>
      </c>
    </row>
    <row r="61" spans="1:6" ht="15" customHeight="1" thickBot="1">
      <c r="A61" s="276" t="s">
        <v>720</v>
      </c>
      <c r="B61" s="277" t="s">
        <v>721</v>
      </c>
      <c r="C61" s="278" t="s">
        <v>722</v>
      </c>
      <c r="D61" s="277"/>
      <c r="E61" s="276" t="s">
        <v>572</v>
      </c>
      <c r="F61" s="280">
        <v>43831</v>
      </c>
    </row>
    <row r="62" spans="1:6" ht="15" customHeight="1" thickBot="1">
      <c r="A62" s="271" t="s">
        <v>723</v>
      </c>
      <c r="B62" s="272" t="s">
        <v>724</v>
      </c>
      <c r="C62" s="273" t="s">
        <v>725</v>
      </c>
      <c r="D62" s="272"/>
      <c r="E62" s="271" t="s">
        <v>558</v>
      </c>
      <c r="F62" s="275">
        <v>43831</v>
      </c>
    </row>
    <row r="63" spans="1:6" ht="15" customHeight="1" thickBot="1">
      <c r="A63" s="276" t="s">
        <v>726</v>
      </c>
      <c r="B63" s="277" t="s">
        <v>727</v>
      </c>
      <c r="C63" s="278" t="s">
        <v>728</v>
      </c>
      <c r="D63" s="277"/>
      <c r="E63" s="276" t="s">
        <v>565</v>
      </c>
      <c r="F63" s="280">
        <v>43831</v>
      </c>
    </row>
    <row r="64" spans="1:6" ht="15" customHeight="1" thickBot="1">
      <c r="A64" s="271" t="s">
        <v>729</v>
      </c>
      <c r="B64" s="272" t="s">
        <v>730</v>
      </c>
      <c r="C64" s="273" t="s">
        <v>731</v>
      </c>
      <c r="D64" s="272"/>
      <c r="E64" s="271" t="s">
        <v>732</v>
      </c>
      <c r="F64" s="275">
        <v>43831</v>
      </c>
    </row>
    <row r="65" spans="1:6" ht="15" customHeight="1" thickBot="1">
      <c r="A65" s="271" t="s">
        <v>729</v>
      </c>
      <c r="B65" s="272" t="s">
        <v>733</v>
      </c>
      <c r="C65" s="273" t="s">
        <v>734</v>
      </c>
      <c r="D65" s="274" t="s">
        <v>735</v>
      </c>
      <c r="E65" s="271" t="s">
        <v>736</v>
      </c>
      <c r="F65" s="275">
        <v>43831</v>
      </c>
    </row>
    <row r="66" spans="1:6" ht="15" customHeight="1" thickBot="1">
      <c r="A66" s="276" t="s">
        <v>729</v>
      </c>
      <c r="B66" s="277" t="s">
        <v>737</v>
      </c>
      <c r="C66" s="278" t="s">
        <v>734</v>
      </c>
      <c r="D66" s="279" t="s">
        <v>738</v>
      </c>
      <c r="E66" s="276" t="s">
        <v>565</v>
      </c>
      <c r="F66" s="280">
        <v>43831</v>
      </c>
    </row>
    <row r="67" spans="1:6" ht="15" customHeight="1" thickBot="1">
      <c r="A67" s="271" t="s">
        <v>729</v>
      </c>
      <c r="B67" s="272" t="s">
        <v>739</v>
      </c>
      <c r="C67" s="273" t="s">
        <v>731</v>
      </c>
      <c r="D67" s="274" t="s">
        <v>740</v>
      </c>
      <c r="E67" s="271" t="s">
        <v>741</v>
      </c>
      <c r="F67" s="275">
        <v>43831</v>
      </c>
    </row>
    <row r="68" spans="1:6" s="270" customFormat="1" ht="15" customHeight="1" thickBot="1">
      <c r="A68" s="266" t="s">
        <v>742</v>
      </c>
      <c r="B68" s="267" t="s">
        <v>743</v>
      </c>
      <c r="C68" s="268" t="s">
        <v>744</v>
      </c>
      <c r="D68" s="267"/>
      <c r="E68" s="266" t="s">
        <v>745</v>
      </c>
      <c r="F68" s="269">
        <v>43831</v>
      </c>
    </row>
    <row r="69" spans="1:6" ht="15" customHeight="1" thickBot="1">
      <c r="A69" s="276" t="s">
        <v>746</v>
      </c>
      <c r="B69" s="277" t="s">
        <v>747</v>
      </c>
      <c r="C69" s="278" t="s">
        <v>748</v>
      </c>
      <c r="D69" s="277"/>
      <c r="E69" s="276" t="s">
        <v>749</v>
      </c>
      <c r="F69" s="280">
        <v>43831</v>
      </c>
    </row>
    <row r="70" spans="1:6" ht="15" customHeight="1" thickBot="1">
      <c r="A70" s="271" t="s">
        <v>750</v>
      </c>
      <c r="B70" s="272" t="s">
        <v>751</v>
      </c>
      <c r="C70" s="273" t="s">
        <v>752</v>
      </c>
      <c r="D70" s="272"/>
      <c r="E70" s="271" t="s">
        <v>753</v>
      </c>
      <c r="F70" s="275">
        <v>43831</v>
      </c>
    </row>
    <row r="71" spans="1:6" ht="15" customHeight="1" thickBot="1">
      <c r="A71" s="276" t="s">
        <v>754</v>
      </c>
      <c r="B71" s="277" t="s">
        <v>755</v>
      </c>
      <c r="C71" s="278" t="s">
        <v>756</v>
      </c>
      <c r="D71" s="277"/>
      <c r="E71" s="276" t="s">
        <v>757</v>
      </c>
      <c r="F71" s="280">
        <v>43831</v>
      </c>
    </row>
    <row r="72" spans="1:6" ht="15" customHeight="1" thickBot="1">
      <c r="A72" s="276" t="s">
        <v>758</v>
      </c>
      <c r="B72" s="277" t="s">
        <v>759</v>
      </c>
      <c r="C72" s="278" t="s">
        <v>760</v>
      </c>
      <c r="D72" s="277"/>
      <c r="E72" s="276" t="s">
        <v>635</v>
      </c>
      <c r="F72" s="280">
        <v>43831</v>
      </c>
    </row>
    <row r="73" spans="1:6" ht="15" customHeight="1" thickBot="1">
      <c r="A73" s="271" t="s">
        <v>761</v>
      </c>
      <c r="B73" s="272" t="s">
        <v>762</v>
      </c>
      <c r="C73" s="273" t="s">
        <v>763</v>
      </c>
      <c r="D73" s="272"/>
      <c r="E73" s="271" t="s">
        <v>764</v>
      </c>
      <c r="F73" s="275">
        <v>43831</v>
      </c>
    </row>
    <row r="74" spans="1:6" ht="15" customHeight="1" thickBot="1">
      <c r="A74" s="271" t="s">
        <v>765</v>
      </c>
      <c r="B74" s="272" t="s">
        <v>766</v>
      </c>
      <c r="C74" s="273" t="s">
        <v>767</v>
      </c>
      <c r="D74" s="272"/>
      <c r="E74" s="271" t="s">
        <v>558</v>
      </c>
      <c r="F74" s="275">
        <v>43831</v>
      </c>
    </row>
    <row r="75" spans="1:6" ht="15" customHeight="1" thickBot="1">
      <c r="A75" s="271" t="s">
        <v>768</v>
      </c>
      <c r="B75" s="272" t="s">
        <v>769</v>
      </c>
      <c r="C75" s="273" t="s">
        <v>770</v>
      </c>
      <c r="D75" s="272"/>
      <c r="E75" s="271" t="s">
        <v>657</v>
      </c>
      <c r="F75" s="275">
        <v>43831</v>
      </c>
    </row>
    <row r="76" spans="1:6" ht="15" customHeight="1">
      <c r="A76" s="271" t="s">
        <v>771</v>
      </c>
      <c r="B76" s="272" t="s">
        <v>772</v>
      </c>
      <c r="C76" s="273" t="s">
        <v>773</v>
      </c>
      <c r="D76" s="272"/>
      <c r="E76" s="271" t="s">
        <v>774</v>
      </c>
      <c r="F76" s="275">
        <v>43831</v>
      </c>
    </row>
  </sheetData>
  <sheetProtection/>
  <hyperlinks>
    <hyperlink ref="C21" r:id="rId1" tooltip="Електрична апаратура для комутування та захисту електричних кіл" display="https://e-tender.biz/planDetails/fee2c973f3ed4f5f90c6b947716f84e0"/>
    <hyperlink ref="C8" r:id="rId2" tooltip="Аксесуари для одягу (Одноразові рукавички)" display="https://e-tender.biz/planDetails/fe35ba3daeb04bc78f1d99828d42fa65"/>
    <hyperlink ref="C28" r:id="rId3" tooltip="Медичне обладнання та вироби медичного призначення різні (меблі медичні, пробірки, штативи, одяг для медперсоналу, аптечки)" display="https://e-tender.biz/planDetails/fcab088da29a4d0ba47c7d4c6697df32"/>
    <hyperlink ref="C23" r:id="rId4" tooltip="Електричні лампи розжарення (бактерицидні лампи)" display="https://e-tender.biz/planDetails/f76573ac8f6e41e5a03c57931819e2f4"/>
    <hyperlink ref="C20" r:id="rId5" tooltip="Комп’ютерне обладнання та приладдя" display="https://e-tender.biz/planDetails/f6ab6c6b45bd44e4a7dc1123d1218dde"/>
    <hyperlink ref="C74" r:id="rId6" tooltip="Послуги з професійної підготовки спеціалістів (послуги з навчання персоналу)" display="https://e-tender.biz/planDetails/f59d831817a54337b5d03099cfbdde62"/>
    <hyperlink ref="C9" r:id="rId7" tooltip="Гумові вироби" display="https://e-tender.biz/planDetails/e7c130a907f94f818b0e3745924ac14c"/>
    <hyperlink ref="C4" r:id="rId8" tooltip="Мастильні засоби (Масло)" display="https://e-tender.biz/planDetails/e635c02986bb46fe8325b0e439d99ee9"/>
    <hyperlink ref="C39" r:id="rId9" tooltip="Офісні меблі" display="https://e-tender.biz/planDetails/e61568de57e14c10a81172362cbbc3ac"/>
    <hyperlink ref="C16" r:id="rId10" tooltip="Газетний папір, папір ручного виготовлення та інший некрейдований папір або картон для графічних цілей" display="https://e-tender.biz/planDetails/e380b508ffde4c6a9656d0c97aea59ee"/>
    <hyperlink ref="C22" r:id="rId11" tooltip="Мережеві кабелі" display="https://e-tender.biz/planDetails/dde195d9ecd24b75ae1b2b7105aeea38"/>
    <hyperlink ref="C75" r:id="rId12" tooltip="Послуги з чищення каналізаційних колекторів" display="https://e-tender.biz/planDetails/db946d895084456bb422233162cfe7f8"/>
    <hyperlink ref="C72" r:id="rId13" tooltip="Послуги, пов’язані з програмним забезпеченням (Виготовлення ЕЦП, програми Медок, Медстат, Кадри)" display="https://e-tender.biz/planDetails/d79bb757a3c048bcbcf13a120ed7cb3c"/>
    <hyperlink ref="C38" r:id="rId14" tooltip="Столи, серванти, письмові столи та книжкові шафи" display="https://e-tender.biz/planDetails/d719b8b7456b49ae99086b5ba32a3e04"/>
    <hyperlink ref="C51" r:id="rId15" tooltip="Будівельні товари" display="https://e-tender.biz/planDetails/d63209a1e1e4424d998bff3bf4a74c0f"/>
    <hyperlink ref="C10" r:id="rId16" tooltip="Пластмасові вироби (Відра пластмасові, совки, пластмасові ємкості)" display="https://e-tender.biz/planDetails/d2fec7bf8d794bbdb7ac7927bcc64556"/>
    <hyperlink ref="C68" r:id="rId17" tooltip="Розподіл газу" display="https://e-tender.biz/planDetails/ceefb23b59634ffaa9a5fc26039a95ab"/>
    <hyperlink ref="C53" r:id="rId18" tooltip="Фарби" display="https://e-tender.biz/planDetails/cd27bccdaabc4d60a845fbd6c2c7df87"/>
    <hyperlink ref="C19" r:id="rId19" tooltip="Офісне устаткування та приладдя різне (Папір ксероксний, офісне приладдя, дрібне канцелярське приладдя)" display="https://e-tender.biz/planDetails/c1b9859d9e654e32a4ab93f2b931f36b"/>
    <hyperlink ref="C36" r:id="rId20" tooltip="Лічильні прилади" display="https://e-tender.biz/planDetails/bb57b9fa0a794fe7a7878ea766cd5222"/>
    <hyperlink ref="C11" r:id="rId21" tooltip="Поліетиленові мішки та пакети для сміття" display="https://e-tender.biz/planDetails/baf1c1ba0c8948cf9a3d27ed1ad7f895"/>
    <hyperlink ref="C32" r:id="rId22" tooltip="Двигуни та їх частини" display="https://e-tender.biz/planDetails/b7eb4fbbc05a4016be42f910a2eb6d9e"/>
    <hyperlink ref="C56" r:id="rId23" tooltip="Очищення стічних вод" display="https://e-tender.biz/planDetails/b77983567a614766be03ce9badac22f9"/>
    <hyperlink ref="C24" r:id="rId24" tooltip="Світильники та освітлювальна арматура (лампочки)" display="https://e-tender.biz/planDetails/ad306e43cd13487ca0c45d081aee48f5"/>
    <hyperlink ref="C44" r:id="rId25" tooltip="Електричні побутові прилади" display="https://e-tender.biz/planDetails/a8f3b152f1b146e3948488f1fcffa782"/>
    <hyperlink ref="C73" r:id="rId26" tooltip="Охоронні послуги (Послуги з моніторингу сигналів тривоги, що надходять з пристроїв охоронної сигналізації)" display="https://e-tender.biz/planDetails/9f509ee17d6a48e4b1baa94b44a7b1b3"/>
    <hyperlink ref="C37" r:id="rId27" tooltip="Сидіння, стільці та супутні вироби і частини до них" display="https://e-tender.biz/planDetails/989d7e590ae540dca3d49c1520ae5072"/>
    <hyperlink ref="C64" r:id="rId28" tooltip="Послуги телефонного зв’язку та передачі даних (послуги за телефон та інтернет)" display="https://e-tender.biz/planDetails/94fd66f8316d4500816cb98fcd747464"/>
    <hyperlink ref="C55" r:id="rId29" tooltip="Вапняк, гіпс і крейда (Вапно)" display="https://e-tender.biz/planDetails/9449cc1a25454624bc843a53b60eaa9f"/>
    <hyperlink ref="C45" r:id="rId30" tooltip="Ароматизатори та воски" display="https://e-tender.biz/planDetails/934076a7c5e047e6858dfd16d10b109d"/>
    <hyperlink ref="C57" r:id="rId31" tooltip="Електромонтажні роботи" display="https://e-tender.biz/planDetails/8daafc1ea1d740908861c34d265ae91e"/>
    <hyperlink ref="C35" r:id="rId32" tooltip="Шини для транспортних засобів великої та малої тоннажності" display="https://e-tender.biz/planDetails/89ffd304fbcd412c908c7247d567efa4"/>
    <hyperlink ref="C6" r:id="rId33" tooltip="Гравій, пісок, щебінь і наповнювачі" display="https://e-tender.biz/planDetails/886e1d9cbba447feb1ddaacc86e696fb"/>
    <hyperlink ref="C49" r:id="rId34" tooltip="Столярні вироби (Вікна, двері)" display="https://e-tender.biz/planDetails/8597b6be7b4f489f9a1fc8c79d6dd397"/>
    <hyperlink ref="C43" r:id="rId35" tooltip="Текстильні вироби різні" display="https://e-tender.biz/planDetails/822cedc0d827480b919164f901ab9dac"/>
    <hyperlink ref="C33" r:id="rId36" tooltip="Механічні запасні частини, крім двигунів і частин двигунів" display="https://e-tender.biz/planDetails/815be4341eda465a8803a07ca4fa86dc"/>
    <hyperlink ref="C18" r:id="rId37" tooltip="Фотокопіювальне та поліграфічне обладнання для офсетного друку (Принтери, картриджи)" display="https://e-tender.biz/planDetails/809d00cec4784515bb726790df59ddc9"/>
    <hyperlink ref="C12" r:id="rId38" tooltip="Газети" display="https://e-tender.biz/planDetails/7809ffa715a440d5a0318f1902f3e997"/>
    <hyperlink ref="C59" r:id="rId39" tooltip="Інформаційні системи" display="https://e-tender.biz/planDetails/776e08356fee45db9ebed22da177c086"/>
    <hyperlink ref="C70" r:id="rId40" tooltip="Консультаційні послуги з питань систем та з технічних питань" display="https://e-tender.biz/planDetails/77471c2f5cd8475b98554dfab26046d8"/>
    <hyperlink ref="C31" r:id="rId41" tooltip="Туалетний папір, носові хустинки, рушники для рук і серветки" display="https://e-tender.biz/planDetails/6fc3a7bfc7df4d2ab874caadc2874fcd"/>
    <hyperlink ref="C26" r:id="rId42" tooltip="Медичні матеріали (Шприци, перев'язувальний матеріал, стерильні рукавички, контейнери, медичні комплекти, ланцети)" display="https://e-tender.biz/planDetails/67b35c2816b546978649dd4385892919"/>
    <hyperlink ref="C52" r:id="rId43" tooltip="Замки, ключі та петлі" display="https://e-tender.biz/planDetails/6484e0024ff44903826bceb0c94048e2"/>
    <hyperlink ref="C29" r:id="rId44" tooltip="Фармацевтична продукція, Антисептичні та дезінфекційні засоби" display="https://e-tender.biz/planDetails/63f072fe76cd4051b26053dc054097fb"/>
    <hyperlink ref="C47" r:id="rId45" tooltip="Питна вода" display="https://e-tender.biz/planDetails/626b03b760da42bb9f5488c84b58fe31"/>
    <hyperlink ref="C42" r:id="rId46" tooltip="Килимки" display="https://e-tender.biz/planDetails/60b02dce80984260b33d7eb676240e2b"/>
    <hyperlink ref="C63" r:id="rId47" tooltip="Послуги з ремонту і технічного обслуговування медичного обладнання" display="https://e-tender.biz/planDetails/5b101a1d5dbe431d95b3fe5aceec5190"/>
    <hyperlink ref="C40" r:id="rId48" tooltip="Кухонне приладдя, товари для дому та господарства і приладдя для закладів громадського харчування (Мітли, щітки та інше господарське приладдя)" display="https://e-tender.biz/planDetails/5a5543a168034c5dbfc7bb37bf73666f"/>
    <hyperlink ref="C48" r:id="rId49" tooltip="Конструкційні матеріали (Цемент, труби та арматура, цвяхи)" display="https://e-tender.biz/planDetails/599b96f4ebd349c79e7ac7da00136734"/>
    <hyperlink ref="C58" r:id="rId50" tooltip="Покривання підлоги та стін (Леонтовича 150,0)" display="https://e-tender.biz/planDetails/4ae1fc82fff846e2a9140c2c654a02b7"/>
    <hyperlink ref="C34" r:id="rId51" tooltip="Запасні частини до вантажних транспортних засобів, фургонів та легкових автомобілів" display="https://e-tender.biz/planDetails/4a78b17b1d764cada2de515e28ce5ee1"/>
    <hyperlink ref="C46" r:id="rId52" tooltip="Продукція для чищення" display="https://e-tender.biz/planDetails/48fc2cd7fd0f4de1ac75bad64811dd69"/>
    <hyperlink ref="C71" r:id="rId53" tooltip="Послуги з аналізу та програмування систем" display="https://e-tender.biz/planDetails/444372144ba1416384e0432bd2edc576"/>
    <hyperlink ref="C25" r:id="rId54" tooltip="Системи реєстрації медичної інформації та дослідне обладнання (індикаторні смужки, тест-смужки)" display="https://e-tender.biz/planDetails/407cb3e617374fe1af99ea5ba943172a"/>
    <hyperlink ref="C2" r:id="rId55" tooltip="Природний газ" display="https://e-tender.biz/planDetails/3c9d3dc026904abdbe0e4d363d2d20d1"/>
    <hyperlink ref="C50" r:id="rId56" tooltip="Вироби для ванної кімнати та кухні" display="https://e-tender.biz/planDetails/3c81fb75d95540af946efd18517c3e02"/>
    <hyperlink ref="C15" r:id="rId57" tooltip="Швидкозшивачі та супутнє приладдя" display="https://e-tender.biz/planDetails/3b6f640d98c14d588a82f9a13c9e5b5d"/>
    <hyperlink ref="C54" r:id="rId58" tooltip="Мастики, шпаклівки, замазки та розчинники" display="https://e-tender.biz/planDetails/395ba7790cba47c784cd12ff93556da7"/>
    <hyperlink ref="C61" r:id="rId59" tooltip="Технічне обслуговування і ремонт офісної техніки" display="https://e-tender.biz/planDetails/38d915142f244f76b82f874a722dddf3"/>
    <hyperlink ref="C30" r:id="rId60" tooltip="Фармацевтична продукція (Туберкулін)" display="https://e-tender.biz/planDetails/2fe7a1c674894ed09419b1568f8769af"/>
    <hyperlink ref="C17" r:id="rId61" tooltip="Основні органічні та неорганічні хімічні речовини (Ethanol (Етиловий спирт))" display="https://e-tender.biz/planDetails/256844c8d630441788403e52dc2cdce9"/>
    <hyperlink ref="C62" r:id="rId62" tooltip="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 display="https://e-tender.biz/planDetails/23ffe1ae526943d996efba9c8b83bfa0"/>
    <hyperlink ref="C13" r:id="rId63" tooltip="Паперові чи картонні реєстраційні журнали" display="https://e-tender.biz/planDetails/229d01160e6b4e1d9f2bedaafef259e3"/>
    <hyperlink ref="C60" r:id="rId64" tooltip="Послуги з ремонту і технічного обслуговування автомобілів" display="https://e-tender.biz/planDetails/214423a394b0471ca2bd390022bd8152"/>
    <hyperlink ref="C27" r:id="rId65" tooltip="Медичні матеріали (Шприци, ланцети для дітей, хворих на ЦД І типу)" display="https://e-tender.biz/planDetails/1d515c9fe8c44dec9f2a0f10cf4af596"/>
    <hyperlink ref="C76" r:id="rId66" tooltip="Утилізація сміття та поводження зі сміттям (Вивіз сміття)" display="https://e-tender.biz/planDetails/1a6e272060564448a392828a4e86877e"/>
    <hyperlink ref="C69" r:id="rId67" tooltip="Страхові послуги (Послуги зі страхування життя та автомобілів)" display="https://e-tender.biz/planDetails/1a608606c94c4a2daf3b054dd525ef0f"/>
    <hyperlink ref="C14" r:id="rId68" tooltip="Бланки" display="https://e-tender.biz/planDetails/1489f805c92041c1adfe0eacdf11879a"/>
    <hyperlink ref="C41" r:id="rId69" tooltip="Вироби домашнього текстилю (Ковдри, подушки, лікарняна білизна, жалюзі)" display="https://e-tender.biz/planDetails/07033f08fc114e40bdf735e69ef58599"/>
    <hyperlink ref="C65" r:id="rId70" tooltip="Послуги телефонного зв’язку та передачі даних (послуги рухомого (мобільного) телефонного зв'язку та інтернет &quot;Vodafonе&quot;)" display="https://e-tender.biz/planDetails/ea5dd2219835423982cd5e7b3df4faec"/>
    <hyperlink ref="D65" r:id="rId71" display="https://e-tender.biz/tender/poshtovi-ta-telekomunikacijni-poslugi/UA-2020-01-24-002953-a-posluhy-telefonnoho-zvyazku-ta-peredachi-danyx-posluhy-ruxomoho-mobilnoho"/>
    <hyperlink ref="C66" r:id="rId72" tooltip="Послуги телефонного зв’язку та передачі даних (послуги рухомого (мобільного) телефонного зв'язку та інтернет &quot;Київстар&quot;)" display="https://e-tender.biz/planDetails/905a7a2daba044a68b53a96402ae9241"/>
    <hyperlink ref="D66" r:id="rId73" display="https://e-tender.biz/tender/poshtovi-ta-telekomunikacijni-poslugi/UA-2020-01-24-002515-a-posluhy-telefonnoho-zvyazku-ta-peredachi-danyx-posluhy-ruxomoho-mobilnoho"/>
    <hyperlink ref="C67" r:id="rId74" tooltip="Послуги телефонного зв’язку та передачі даних (послуги за телефон та інтернет)" display="https://e-tender.biz/planDetails/b78b6c90a09144d888d21dea14273e03"/>
    <hyperlink ref="D67" r:id="rId75" display="https://e-tender.biz/tender/poshtovi-ta-telekomunikacijni-poslugi/UA-2020-01-24-002226-a-posluhy-telefonnoho-zvyazku-ta-peredachi-danyx-posluhy-za-telefon-ta-internet"/>
    <hyperlink ref="C7" r:id="rId76" tooltip="Спеціальні продукти харчування, збагачені поживними речовинами (Спеціальне дієтичне харчування для дітей, хворих на фенілкетонурію)" display="https://e-tender.biz/planDetails/9f37e79124f34887995907ebc894dc6c"/>
    <hyperlink ref="D7" r:id="rId77" display="https://e-tender.biz/tender/produkti-harchuvannya/UA-2020-01-15-001695-c-speczialni-produkty-xarchuvannya-zbahacheni-pozhyvnymy-rechovynamy-za-kodom-cpv-za"/>
    <hyperlink ref="C3" r:id="rId78" tooltip="Нафта і дистиляти (Бензин марки А-92)" display="https://e-tender.biz/planDetails/8390b89961da4983857baa4ae7294bac"/>
    <hyperlink ref="D3" r:id="rId79" display="https://e-tender.biz/tender/naftoprodukti-ta-elektroenergiya/UA-2020-01-10-000697-c-nafta-i-dystylyaty-benzyn-marky-a-92"/>
    <hyperlink ref="C5" r:id="rId80" tooltip="Електрична енергія (Електрична енергія та супутні послуги)" display="https://e-tender.biz/planDetails/8d729952aa1c460690ba9c61c4ebb4b4"/>
    <hyperlink ref="D5" r:id="rId81" display="https://e-tender.biz/tender/naftoprodukti-ta-elektroenergiya/UA-2020-01-03-000578-c-elektrychna-enerhiya-elektrychna-enerhiya-ta-suputni-posluh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26"/>
  <sheetViews>
    <sheetView zoomScalePageLayoutView="0" workbookViewId="0" topLeftCell="A52">
      <selection activeCell="J71" sqref="J71:J88"/>
    </sheetView>
  </sheetViews>
  <sheetFormatPr defaultColWidth="9.140625" defaultRowHeight="15"/>
  <cols>
    <col min="1" max="1" width="93.421875" style="144" customWidth="1"/>
    <col min="2" max="2" width="13.7109375" style="144" customWidth="1"/>
    <col min="3" max="3" width="5.7109375" style="9" customWidth="1"/>
    <col min="4" max="4" width="18.140625" style="145" customWidth="1"/>
    <col min="5" max="5" width="13.8515625" style="9" customWidth="1"/>
    <col min="6" max="6" width="8.28125" style="9" customWidth="1"/>
    <col min="7" max="7" width="9.140625" style="9" customWidth="1"/>
    <col min="8" max="8" width="14.28125" style="9" customWidth="1"/>
    <col min="9" max="9" width="13.7109375" style="9" customWidth="1"/>
    <col min="10" max="10" width="18.00390625" style="175" bestFit="1" customWidth="1"/>
    <col min="11" max="11" width="9.140625" style="9" customWidth="1"/>
    <col min="12" max="12" width="19.57421875" style="9" customWidth="1"/>
    <col min="13" max="14" width="9.140625" style="9" customWidth="1"/>
    <col min="15" max="15" width="32.28125" style="141" bestFit="1" customWidth="1"/>
    <col min="16" max="16" width="28.28125" style="9" customWidth="1"/>
    <col min="17" max="16384" width="9.140625" style="9" customWidth="1"/>
  </cols>
  <sheetData>
    <row r="1" spans="1:17" s="141" customFormat="1" ht="32.25" thickBot="1">
      <c r="A1" s="136" t="s">
        <v>1</v>
      </c>
      <c r="B1" s="140" t="s">
        <v>341</v>
      </c>
      <c r="C1" s="137" t="s">
        <v>324</v>
      </c>
      <c r="D1" s="138" t="s">
        <v>2</v>
      </c>
      <c r="E1" s="139" t="s">
        <v>343</v>
      </c>
      <c r="H1" s="138" t="s">
        <v>390</v>
      </c>
      <c r="I1" s="138" t="s">
        <v>58</v>
      </c>
      <c r="J1" s="138" t="s">
        <v>389</v>
      </c>
      <c r="Q1" s="147" t="s">
        <v>342</v>
      </c>
    </row>
    <row r="2" spans="1:15" ht="15.75">
      <c r="A2" s="77" t="s">
        <v>182</v>
      </c>
      <c r="B2" s="405" t="s">
        <v>215</v>
      </c>
      <c r="C2" s="8" t="s">
        <v>3</v>
      </c>
      <c r="D2" s="151">
        <v>750000</v>
      </c>
      <c r="E2" s="8" t="s">
        <v>31</v>
      </c>
      <c r="H2" s="167">
        <v>3.263472</v>
      </c>
      <c r="I2" s="9">
        <v>138741.806272</v>
      </c>
      <c r="J2" s="177">
        <f aca="true" t="shared" si="0" ref="J2:J9">H2*I2</f>
        <v>452779.9999980964</v>
      </c>
      <c r="O2" s="148" t="s">
        <v>325</v>
      </c>
    </row>
    <row r="3" spans="1:15" ht="15.75">
      <c r="A3" s="77" t="s">
        <v>56</v>
      </c>
      <c r="B3" s="406"/>
      <c r="C3" s="8" t="s">
        <v>3</v>
      </c>
      <c r="D3" s="151">
        <v>49500</v>
      </c>
      <c r="E3" s="8" t="s">
        <v>57</v>
      </c>
      <c r="H3" s="168">
        <v>8.1886284</v>
      </c>
      <c r="I3" s="9">
        <v>3261.7053983</v>
      </c>
      <c r="J3" s="177">
        <f t="shared" si="0"/>
        <v>26708.893456952694</v>
      </c>
      <c r="O3" s="148" t="s">
        <v>0</v>
      </c>
    </row>
    <row r="4" spans="1:15" ht="15.75">
      <c r="A4" s="77" t="s">
        <v>54</v>
      </c>
      <c r="B4" s="406"/>
      <c r="C4" s="8" t="s">
        <v>3</v>
      </c>
      <c r="D4" s="151">
        <v>4000</v>
      </c>
      <c r="E4" s="8" t="s">
        <v>55</v>
      </c>
      <c r="H4" s="166">
        <v>0.85572</v>
      </c>
      <c r="I4" s="9">
        <v>3261.7053983</v>
      </c>
      <c r="J4" s="177">
        <f t="shared" si="0"/>
        <v>2791.1065434332763</v>
      </c>
      <c r="L4" s="169"/>
      <c r="O4" s="148" t="s">
        <v>0</v>
      </c>
    </row>
    <row r="5" spans="1:15" ht="15.75">
      <c r="A5" s="77" t="s">
        <v>33</v>
      </c>
      <c r="B5" s="406"/>
      <c r="C5" s="8" t="s">
        <v>3</v>
      </c>
      <c r="D5" s="151">
        <v>429000</v>
      </c>
      <c r="E5" s="8" t="s">
        <v>32</v>
      </c>
      <c r="H5" s="165">
        <v>2448.65</v>
      </c>
      <c r="I5" s="9">
        <v>80</v>
      </c>
      <c r="J5" s="177">
        <f>H5*I5</f>
        <v>195892</v>
      </c>
      <c r="O5" s="148" t="s">
        <v>220</v>
      </c>
    </row>
    <row r="6" spans="1:15" ht="15.75">
      <c r="A6" s="77" t="s">
        <v>35</v>
      </c>
      <c r="B6" s="406"/>
      <c r="C6" s="8" t="s">
        <v>3</v>
      </c>
      <c r="D6" s="151">
        <v>11000</v>
      </c>
      <c r="E6" s="8" t="s">
        <v>34</v>
      </c>
      <c r="H6" s="165">
        <v>9.72</v>
      </c>
      <c r="I6" s="9">
        <v>850</v>
      </c>
      <c r="J6" s="177">
        <f t="shared" si="0"/>
        <v>8262</v>
      </c>
      <c r="O6" s="148" t="s">
        <v>0</v>
      </c>
    </row>
    <row r="7" spans="1:15" ht="15.75">
      <c r="A7" s="77" t="s">
        <v>37</v>
      </c>
      <c r="B7" s="407"/>
      <c r="C7" s="8" t="s">
        <v>3</v>
      </c>
      <c r="D7" s="151">
        <v>6500</v>
      </c>
      <c r="E7" s="8" t="s">
        <v>36</v>
      </c>
      <c r="H7" s="165">
        <v>15.96</v>
      </c>
      <c r="I7" s="9">
        <v>850</v>
      </c>
      <c r="J7" s="177">
        <f t="shared" si="0"/>
        <v>13566</v>
      </c>
      <c r="O7" s="148" t="s">
        <v>0</v>
      </c>
    </row>
    <row r="8" spans="1:15" s="62" customFormat="1" ht="15.75">
      <c r="A8" s="6"/>
      <c r="B8" s="6"/>
      <c r="C8" s="7"/>
      <c r="D8" s="142">
        <f>SUM(D2:D7)</f>
        <v>1250000</v>
      </c>
      <c r="E8" s="7"/>
      <c r="J8" s="173">
        <f>SUM(J2:J7)</f>
        <v>699999.9999984824</v>
      </c>
      <c r="O8" s="149"/>
    </row>
    <row r="9" spans="1:15" ht="15.75">
      <c r="A9" s="77" t="s">
        <v>286</v>
      </c>
      <c r="B9" s="408" t="s">
        <v>191</v>
      </c>
      <c r="C9" s="8" t="s">
        <v>3</v>
      </c>
      <c r="D9" s="151">
        <v>286000</v>
      </c>
      <c r="E9" s="8" t="s">
        <v>285</v>
      </c>
      <c r="H9" s="9">
        <v>26.38</v>
      </c>
      <c r="I9" s="165">
        <v>13200</v>
      </c>
      <c r="J9" s="177">
        <f t="shared" si="0"/>
        <v>348216</v>
      </c>
      <c r="O9" s="148" t="s">
        <v>327</v>
      </c>
    </row>
    <row r="10" spans="1:15" ht="15.75">
      <c r="A10" s="77" t="s">
        <v>189</v>
      </c>
      <c r="B10" s="407"/>
      <c r="C10" s="8" t="s">
        <v>3</v>
      </c>
      <c r="D10" s="151">
        <v>14000</v>
      </c>
      <c r="E10" s="8" t="s">
        <v>9</v>
      </c>
      <c r="F10" s="9">
        <v>6990</v>
      </c>
      <c r="J10" s="177">
        <v>11784</v>
      </c>
      <c r="O10" s="148" t="s">
        <v>0</v>
      </c>
    </row>
    <row r="11" spans="1:15" s="62" customFormat="1" ht="15.75">
      <c r="A11" s="6"/>
      <c r="B11" s="6"/>
      <c r="C11" s="7"/>
      <c r="D11" s="142">
        <f>SUM(D9:D10)</f>
        <v>300000</v>
      </c>
      <c r="E11" s="7"/>
      <c r="J11" s="173">
        <f>SUM(J9:J10)</f>
        <v>360000</v>
      </c>
      <c r="O11" s="149"/>
    </row>
    <row r="12" spans="1:15" ht="15.75">
      <c r="A12" s="77" t="s">
        <v>222</v>
      </c>
      <c r="B12" s="8">
        <v>300</v>
      </c>
      <c r="C12" s="8" t="s">
        <v>3</v>
      </c>
      <c r="D12" s="151">
        <v>20000</v>
      </c>
      <c r="E12" s="8" t="s">
        <v>221</v>
      </c>
      <c r="F12" s="9">
        <v>12672</v>
      </c>
      <c r="J12" s="177">
        <v>15000</v>
      </c>
      <c r="O12" s="148" t="s">
        <v>0</v>
      </c>
    </row>
    <row r="13" spans="1:15" ht="15.75">
      <c r="A13" s="77" t="s">
        <v>41</v>
      </c>
      <c r="B13" s="408"/>
      <c r="C13" s="8" t="s">
        <v>3</v>
      </c>
      <c r="D13" s="151">
        <v>10000</v>
      </c>
      <c r="E13" s="8" t="s">
        <v>12</v>
      </c>
      <c r="F13" s="9">
        <v>7847.5</v>
      </c>
      <c r="J13" s="177">
        <v>10000</v>
      </c>
      <c r="O13" s="148" t="s">
        <v>0</v>
      </c>
    </row>
    <row r="14" spans="1:15" ht="15.75">
      <c r="A14" s="77" t="s">
        <v>14</v>
      </c>
      <c r="B14" s="406"/>
      <c r="C14" s="8" t="s">
        <v>3</v>
      </c>
      <c r="D14" s="151">
        <v>1000</v>
      </c>
      <c r="E14" s="8" t="s">
        <v>13</v>
      </c>
      <c r="F14" s="154">
        <v>1320</v>
      </c>
      <c r="J14" s="177">
        <v>2000</v>
      </c>
      <c r="O14" s="148" t="s">
        <v>0</v>
      </c>
    </row>
    <row r="15" spans="1:15" ht="15.75">
      <c r="A15" s="77" t="s">
        <v>226</v>
      </c>
      <c r="B15" s="406"/>
      <c r="C15" s="8" t="s">
        <v>3</v>
      </c>
      <c r="D15" s="151">
        <v>5000</v>
      </c>
      <c r="E15" s="8" t="s">
        <v>223</v>
      </c>
      <c r="F15" s="154">
        <v>50191</v>
      </c>
      <c r="J15" s="177">
        <v>45000</v>
      </c>
      <c r="O15" s="148" t="s">
        <v>0</v>
      </c>
    </row>
    <row r="16" spans="1:15" ht="15.75">
      <c r="A16" s="77" t="s">
        <v>225</v>
      </c>
      <c r="B16" s="406"/>
      <c r="C16" s="8" t="s">
        <v>3</v>
      </c>
      <c r="D16" s="151">
        <v>20000</v>
      </c>
      <c r="E16" s="8" t="s">
        <v>23</v>
      </c>
      <c r="F16" s="154">
        <v>39251</v>
      </c>
      <c r="J16" s="177">
        <v>45000</v>
      </c>
      <c r="O16" s="148" t="s">
        <v>0</v>
      </c>
    </row>
    <row r="17" spans="1:15" ht="15.75">
      <c r="A17" s="77" t="s">
        <v>227</v>
      </c>
      <c r="B17" s="406"/>
      <c r="C17" s="8" t="s">
        <v>3</v>
      </c>
      <c r="D17" s="151">
        <v>5000</v>
      </c>
      <c r="E17" s="8" t="s">
        <v>224</v>
      </c>
      <c r="F17" s="9">
        <v>1136</v>
      </c>
      <c r="J17" s="177">
        <v>1500</v>
      </c>
      <c r="O17" s="148" t="s">
        <v>0</v>
      </c>
    </row>
    <row r="18" spans="1:15" ht="31.5">
      <c r="A18" s="77" t="s">
        <v>272</v>
      </c>
      <c r="B18" s="406"/>
      <c r="C18" s="8" t="s">
        <v>3</v>
      </c>
      <c r="D18" s="151">
        <v>15000</v>
      </c>
      <c r="E18" s="8" t="s">
        <v>271</v>
      </c>
      <c r="F18" s="9">
        <v>8255</v>
      </c>
      <c r="J18" s="177">
        <v>10000</v>
      </c>
      <c r="O18" s="148" t="s">
        <v>0</v>
      </c>
    </row>
    <row r="19" spans="1:15" ht="15.75">
      <c r="A19" s="77" t="s">
        <v>282</v>
      </c>
      <c r="B19" s="406"/>
      <c r="C19" s="8" t="s">
        <v>3</v>
      </c>
      <c r="D19" s="151">
        <v>40000</v>
      </c>
      <c r="E19" s="8" t="s">
        <v>228</v>
      </c>
      <c r="F19" s="9">
        <v>23601</v>
      </c>
      <c r="J19" s="177">
        <v>25000</v>
      </c>
      <c r="O19" s="148" t="s">
        <v>0</v>
      </c>
    </row>
    <row r="20" spans="1:15" ht="31.5">
      <c r="A20" s="77" t="s">
        <v>283</v>
      </c>
      <c r="B20" s="406"/>
      <c r="C20" s="8" t="s">
        <v>3</v>
      </c>
      <c r="D20" s="151">
        <v>40000</v>
      </c>
      <c r="E20" s="8" t="s">
        <v>229</v>
      </c>
      <c r="F20" s="154">
        <v>58054</v>
      </c>
      <c r="J20" s="177">
        <v>45000</v>
      </c>
      <c r="O20" s="148" t="s">
        <v>0</v>
      </c>
    </row>
    <row r="21" spans="1:15" ht="15.75">
      <c r="A21" s="77" t="s">
        <v>15</v>
      </c>
      <c r="B21" s="406"/>
      <c r="C21" s="8" t="s">
        <v>3</v>
      </c>
      <c r="D21" s="151">
        <v>45000</v>
      </c>
      <c r="E21" s="8" t="s">
        <v>230</v>
      </c>
      <c r="F21" s="9">
        <v>114258</v>
      </c>
      <c r="J21" s="177">
        <v>20000</v>
      </c>
      <c r="O21" s="148" t="s">
        <v>326</v>
      </c>
    </row>
    <row r="22" spans="1:15" ht="15.75">
      <c r="A22" s="77" t="s">
        <v>232</v>
      </c>
      <c r="B22" s="406"/>
      <c r="C22" s="8" t="s">
        <v>3</v>
      </c>
      <c r="D22" s="151">
        <v>2000</v>
      </c>
      <c r="E22" s="8" t="s">
        <v>231</v>
      </c>
      <c r="F22" s="154">
        <v>9780</v>
      </c>
      <c r="J22" s="177">
        <v>10000</v>
      </c>
      <c r="O22" s="148" t="s">
        <v>0</v>
      </c>
    </row>
    <row r="23" spans="1:15" ht="15.75">
      <c r="A23" s="77" t="s">
        <v>233</v>
      </c>
      <c r="B23" s="406"/>
      <c r="C23" s="8" t="s">
        <v>3</v>
      </c>
      <c r="D23" s="151">
        <v>2000</v>
      </c>
      <c r="E23" s="8" t="s">
        <v>234</v>
      </c>
      <c r="F23" s="154">
        <v>2202</v>
      </c>
      <c r="J23" s="177">
        <v>3000</v>
      </c>
      <c r="O23" s="148" t="s">
        <v>0</v>
      </c>
    </row>
    <row r="24" spans="1:15" ht="15.75">
      <c r="A24" s="77" t="s">
        <v>428</v>
      </c>
      <c r="B24" s="406"/>
      <c r="C24" s="8" t="s">
        <v>3</v>
      </c>
      <c r="D24" s="151">
        <v>1000</v>
      </c>
      <c r="E24" s="8" t="s">
        <v>329</v>
      </c>
      <c r="F24" s="154">
        <v>8063</v>
      </c>
      <c r="J24" s="177">
        <v>3000</v>
      </c>
      <c r="O24" s="148" t="s">
        <v>0</v>
      </c>
    </row>
    <row r="25" spans="1:15" ht="15.75">
      <c r="A25" s="77" t="s">
        <v>429</v>
      </c>
      <c r="B25" s="406"/>
      <c r="C25" s="8" t="s">
        <v>3</v>
      </c>
      <c r="D25" s="151">
        <v>3000</v>
      </c>
      <c r="E25" s="8" t="s">
        <v>237</v>
      </c>
      <c r="F25" s="9">
        <v>612</v>
      </c>
      <c r="J25" s="177">
        <v>7000</v>
      </c>
      <c r="O25" s="148" t="s">
        <v>0</v>
      </c>
    </row>
    <row r="26" spans="1:15" ht="15.75">
      <c r="A26" s="77" t="s">
        <v>236</v>
      </c>
      <c r="B26" s="406"/>
      <c r="C26" s="8" t="s">
        <v>3</v>
      </c>
      <c r="D26" s="151">
        <v>3000</v>
      </c>
      <c r="E26" s="8" t="s">
        <v>235</v>
      </c>
      <c r="J26" s="177">
        <v>0</v>
      </c>
      <c r="O26" s="148" t="s">
        <v>0</v>
      </c>
    </row>
    <row r="27" spans="1:15" ht="15.75">
      <c r="A27" s="77" t="s">
        <v>330</v>
      </c>
      <c r="B27" s="406"/>
      <c r="C27" s="8" t="s">
        <v>3</v>
      </c>
      <c r="D27" s="151">
        <v>10000</v>
      </c>
      <c r="E27" s="8" t="s">
        <v>331</v>
      </c>
      <c r="J27" s="177">
        <v>0</v>
      </c>
      <c r="O27" s="148" t="s">
        <v>326</v>
      </c>
    </row>
    <row r="28" spans="1:15" ht="15.75">
      <c r="A28" s="77" t="s">
        <v>17</v>
      </c>
      <c r="B28" s="406"/>
      <c r="C28" s="8" t="s">
        <v>3</v>
      </c>
      <c r="D28" s="151">
        <v>5000</v>
      </c>
      <c r="E28" s="8" t="s">
        <v>16</v>
      </c>
      <c r="F28" s="9">
        <v>3620</v>
      </c>
      <c r="J28" s="177">
        <v>3500</v>
      </c>
      <c r="O28" s="148" t="s">
        <v>0</v>
      </c>
    </row>
    <row r="29" spans="1:15" ht="15.75">
      <c r="A29" s="77" t="s">
        <v>240</v>
      </c>
      <c r="B29" s="406"/>
      <c r="C29" s="8" t="s">
        <v>3</v>
      </c>
      <c r="D29" s="151">
        <v>15000</v>
      </c>
      <c r="E29" s="8" t="s">
        <v>239</v>
      </c>
      <c r="F29" s="9">
        <v>1690</v>
      </c>
      <c r="G29" s="154" t="s">
        <v>357</v>
      </c>
      <c r="H29" s="154"/>
      <c r="I29" s="154"/>
      <c r="J29" s="177">
        <v>2500</v>
      </c>
      <c r="O29" s="148" t="s">
        <v>0</v>
      </c>
    </row>
    <row r="30" spans="1:15" ht="15.75">
      <c r="A30" s="77" t="s">
        <v>242</v>
      </c>
      <c r="B30" s="406"/>
      <c r="C30" s="8" t="s">
        <v>3</v>
      </c>
      <c r="D30" s="151">
        <v>15000</v>
      </c>
      <c r="E30" s="8" t="s">
        <v>241</v>
      </c>
      <c r="F30" s="154">
        <v>15595</v>
      </c>
      <c r="J30" s="177">
        <v>15000</v>
      </c>
      <c r="O30" s="148" t="s">
        <v>0</v>
      </c>
    </row>
    <row r="31" spans="1:15" ht="15.75">
      <c r="A31" s="77" t="s">
        <v>244</v>
      </c>
      <c r="B31" s="406"/>
      <c r="C31" s="8" t="s">
        <v>3</v>
      </c>
      <c r="D31" s="151">
        <v>10000</v>
      </c>
      <c r="E31" s="8" t="s">
        <v>243</v>
      </c>
      <c r="F31" s="154">
        <v>31337</v>
      </c>
      <c r="J31" s="177">
        <v>35000</v>
      </c>
      <c r="O31" s="148" t="s">
        <v>0</v>
      </c>
    </row>
    <row r="32" spans="1:15" ht="15.75">
      <c r="A32" s="77" t="s">
        <v>246</v>
      </c>
      <c r="B32" s="406"/>
      <c r="C32" s="8" t="s">
        <v>3</v>
      </c>
      <c r="D32" s="151">
        <v>10000</v>
      </c>
      <c r="E32" s="8" t="s">
        <v>245</v>
      </c>
      <c r="F32" s="9">
        <v>12480</v>
      </c>
      <c r="G32" s="154" t="s">
        <v>397</v>
      </c>
      <c r="H32" s="154"/>
      <c r="I32" s="154"/>
      <c r="J32" s="177">
        <f>2200*4+16200</f>
        <v>25000</v>
      </c>
      <c r="O32" s="148" t="s">
        <v>0</v>
      </c>
    </row>
    <row r="33" spans="1:15" ht="15.75">
      <c r="A33" s="77" t="s">
        <v>248</v>
      </c>
      <c r="B33" s="406"/>
      <c r="C33" s="8" t="s">
        <v>3</v>
      </c>
      <c r="D33" s="151">
        <v>40000</v>
      </c>
      <c r="E33" s="8" t="s">
        <v>247</v>
      </c>
      <c r="F33" s="9">
        <v>83957</v>
      </c>
      <c r="J33" s="177">
        <v>10000</v>
      </c>
      <c r="O33" s="148" t="s">
        <v>326</v>
      </c>
    </row>
    <row r="34" spans="1:15" ht="15.75">
      <c r="A34" s="77" t="s">
        <v>250</v>
      </c>
      <c r="B34" s="406"/>
      <c r="C34" s="8" t="s">
        <v>3</v>
      </c>
      <c r="D34" s="151">
        <v>130000</v>
      </c>
      <c r="E34" s="8" t="s">
        <v>249</v>
      </c>
      <c r="F34" s="9">
        <v>66859</v>
      </c>
      <c r="J34" s="177">
        <v>10000</v>
      </c>
      <c r="O34" s="148" t="s">
        <v>326</v>
      </c>
    </row>
    <row r="35" spans="1:15" ht="15.75">
      <c r="A35" s="77" t="s">
        <v>252</v>
      </c>
      <c r="B35" s="406"/>
      <c r="C35" s="8" t="s">
        <v>3</v>
      </c>
      <c r="D35" s="151">
        <v>120000</v>
      </c>
      <c r="E35" s="8" t="s">
        <v>251</v>
      </c>
      <c r="F35" s="9">
        <v>32799</v>
      </c>
      <c r="J35" s="177">
        <v>10000</v>
      </c>
      <c r="O35" s="148" t="s">
        <v>326</v>
      </c>
    </row>
    <row r="36" spans="1:15" ht="31.5">
      <c r="A36" s="77" t="s">
        <v>254</v>
      </c>
      <c r="B36" s="406"/>
      <c r="C36" s="8" t="s">
        <v>3</v>
      </c>
      <c r="D36" s="151">
        <v>5000</v>
      </c>
      <c r="E36" s="8" t="s">
        <v>253</v>
      </c>
      <c r="F36" s="154">
        <v>9076</v>
      </c>
      <c r="J36" s="177">
        <v>10000</v>
      </c>
      <c r="O36" s="148" t="s">
        <v>0</v>
      </c>
    </row>
    <row r="37" spans="1:15" ht="15.75">
      <c r="A37" s="77" t="s">
        <v>332</v>
      </c>
      <c r="B37" s="406"/>
      <c r="C37" s="8" t="s">
        <v>3</v>
      </c>
      <c r="D37" s="151">
        <v>25000</v>
      </c>
      <c r="E37" s="8" t="s">
        <v>255</v>
      </c>
      <c r="F37" s="154">
        <v>28138</v>
      </c>
      <c r="J37" s="177">
        <v>5000</v>
      </c>
      <c r="O37" s="148" t="s">
        <v>0</v>
      </c>
    </row>
    <row r="38" spans="1:15" ht="15.75">
      <c r="A38" s="77" t="s">
        <v>268</v>
      </c>
      <c r="B38" s="406"/>
      <c r="C38" s="8" t="s">
        <v>3</v>
      </c>
      <c r="D38" s="151">
        <v>20000</v>
      </c>
      <c r="E38" s="8" t="s">
        <v>219</v>
      </c>
      <c r="F38" s="154">
        <v>46839</v>
      </c>
      <c r="J38" s="177">
        <v>20000</v>
      </c>
      <c r="O38" s="148" t="s">
        <v>0</v>
      </c>
    </row>
    <row r="39" spans="1:15" ht="15.75">
      <c r="A39" s="77" t="s">
        <v>257</v>
      </c>
      <c r="B39" s="406"/>
      <c r="C39" s="8" t="s">
        <v>3</v>
      </c>
      <c r="D39" s="151">
        <v>2000</v>
      </c>
      <c r="E39" s="8" t="s">
        <v>256</v>
      </c>
      <c r="F39" s="154">
        <v>2485</v>
      </c>
      <c r="J39" s="177">
        <v>2500</v>
      </c>
      <c r="O39" s="148" t="s">
        <v>0</v>
      </c>
    </row>
    <row r="40" spans="1:15" ht="15.75">
      <c r="A40" s="77" t="s">
        <v>259</v>
      </c>
      <c r="B40" s="406"/>
      <c r="C40" s="8" t="s">
        <v>3</v>
      </c>
      <c r="D40" s="151">
        <v>6000</v>
      </c>
      <c r="E40" s="8" t="s">
        <v>258</v>
      </c>
      <c r="F40" s="154">
        <v>6733</v>
      </c>
      <c r="J40" s="177">
        <v>7000</v>
      </c>
      <c r="O40" s="148" t="s">
        <v>0</v>
      </c>
    </row>
    <row r="41" spans="1:15" ht="15.75">
      <c r="A41" s="77" t="s">
        <v>284</v>
      </c>
      <c r="B41" s="406"/>
      <c r="C41" s="8" t="s">
        <v>3</v>
      </c>
      <c r="D41" s="151">
        <v>10000</v>
      </c>
      <c r="E41" s="8" t="s">
        <v>260</v>
      </c>
      <c r="F41" s="154">
        <v>22192</v>
      </c>
      <c r="J41" s="177">
        <v>20000</v>
      </c>
      <c r="O41" s="148" t="s">
        <v>0</v>
      </c>
    </row>
    <row r="42" spans="1:15" ht="15.75">
      <c r="A42" s="77" t="s">
        <v>267</v>
      </c>
      <c r="B42" s="406"/>
      <c r="C42" s="8" t="s">
        <v>3</v>
      </c>
      <c r="D42" s="151">
        <v>45000</v>
      </c>
      <c r="E42" s="8" t="s">
        <v>43</v>
      </c>
      <c r="F42" s="9">
        <v>46950</v>
      </c>
      <c r="J42" s="177">
        <v>45000</v>
      </c>
      <c r="O42" s="148" t="s">
        <v>0</v>
      </c>
    </row>
    <row r="43" spans="1:15" ht="15.75">
      <c r="A43" s="77" t="s">
        <v>21</v>
      </c>
      <c r="B43" s="406"/>
      <c r="C43" s="8" t="s">
        <v>3</v>
      </c>
      <c r="D43" s="151">
        <v>15000</v>
      </c>
      <c r="E43" s="8" t="s">
        <v>20</v>
      </c>
      <c r="F43" s="9">
        <v>1167</v>
      </c>
      <c r="J43" s="177">
        <v>0</v>
      </c>
      <c r="O43" s="148" t="s">
        <v>0</v>
      </c>
    </row>
    <row r="44" spans="1:15" ht="15.75">
      <c r="A44" s="77" t="s">
        <v>19</v>
      </c>
      <c r="B44" s="406"/>
      <c r="C44" s="8" t="s">
        <v>3</v>
      </c>
      <c r="D44" s="151">
        <v>10000</v>
      </c>
      <c r="E44" s="8" t="s">
        <v>18</v>
      </c>
      <c r="F44" s="9">
        <v>7690</v>
      </c>
      <c r="J44" s="177">
        <v>8500</v>
      </c>
      <c r="O44" s="148" t="s">
        <v>0</v>
      </c>
    </row>
    <row r="45" spans="1:15" ht="15.75">
      <c r="A45" s="77" t="s">
        <v>262</v>
      </c>
      <c r="B45" s="406"/>
      <c r="C45" s="8" t="s">
        <v>3</v>
      </c>
      <c r="D45" s="151">
        <v>10000</v>
      </c>
      <c r="E45" s="8" t="s">
        <v>261</v>
      </c>
      <c r="F45" s="9">
        <v>4058</v>
      </c>
      <c r="J45" s="177">
        <v>5000</v>
      </c>
      <c r="O45" s="148" t="s">
        <v>0</v>
      </c>
    </row>
    <row r="46" spans="1:15" ht="15.75">
      <c r="A46" s="77" t="s">
        <v>264</v>
      </c>
      <c r="B46" s="406"/>
      <c r="C46" s="8" t="s">
        <v>3</v>
      </c>
      <c r="D46" s="151">
        <v>4000</v>
      </c>
      <c r="E46" s="8" t="s">
        <v>263</v>
      </c>
      <c r="F46" s="9">
        <v>3081</v>
      </c>
      <c r="J46" s="177">
        <v>2000</v>
      </c>
      <c r="O46" s="148" t="s">
        <v>0</v>
      </c>
    </row>
    <row r="47" spans="1:15" ht="15.75">
      <c r="A47" s="77" t="s">
        <v>266</v>
      </c>
      <c r="B47" s="406"/>
      <c r="C47" s="8" t="s">
        <v>3</v>
      </c>
      <c r="D47" s="151">
        <v>1000</v>
      </c>
      <c r="E47" s="8" t="s">
        <v>265</v>
      </c>
      <c r="F47" s="9">
        <v>807</v>
      </c>
      <c r="J47" s="177">
        <v>1000</v>
      </c>
      <c r="O47" s="148" t="s">
        <v>0</v>
      </c>
    </row>
    <row r="48" spans="1:15" ht="15.75">
      <c r="A48" s="77" t="s">
        <v>358</v>
      </c>
      <c r="B48" s="406"/>
      <c r="C48" s="8"/>
      <c r="D48" s="151"/>
      <c r="E48" s="8" t="s">
        <v>359</v>
      </c>
      <c r="F48" s="154">
        <v>3179</v>
      </c>
      <c r="J48" s="177">
        <v>3500</v>
      </c>
      <c r="O48" s="148"/>
    </row>
    <row r="49" spans="1:15" ht="15.75">
      <c r="A49" s="77" t="s">
        <v>373</v>
      </c>
      <c r="B49" s="406"/>
      <c r="C49" s="8"/>
      <c r="D49" s="151"/>
      <c r="E49" s="8" t="s">
        <v>374</v>
      </c>
      <c r="F49" s="154">
        <v>5543</v>
      </c>
      <c r="J49" s="177">
        <v>5000</v>
      </c>
      <c r="O49" s="148"/>
    </row>
    <row r="50" spans="1:15" ht="15.75">
      <c r="A50" s="77" t="s">
        <v>375</v>
      </c>
      <c r="B50" s="406"/>
      <c r="C50" s="8"/>
      <c r="D50" s="151"/>
      <c r="E50" s="8" t="s">
        <v>376</v>
      </c>
      <c r="F50" s="154">
        <v>832</v>
      </c>
      <c r="J50" s="177">
        <v>1000</v>
      </c>
      <c r="O50" s="148"/>
    </row>
    <row r="51" spans="1:15" ht="15.75">
      <c r="A51" s="77" t="s">
        <v>381</v>
      </c>
      <c r="B51" s="407"/>
      <c r="C51" s="8"/>
      <c r="D51" s="151"/>
      <c r="E51" s="8" t="s">
        <v>382</v>
      </c>
      <c r="F51" s="154">
        <v>1714</v>
      </c>
      <c r="J51" s="177">
        <v>2000</v>
      </c>
      <c r="O51" s="148"/>
    </row>
    <row r="52" spans="1:15" s="62" customFormat="1" ht="15.75">
      <c r="A52" s="6"/>
      <c r="B52" s="6"/>
      <c r="C52" s="7"/>
      <c r="D52" s="142">
        <f>SUM(D12:D47)</f>
        <v>720000</v>
      </c>
      <c r="E52" s="7"/>
      <c r="J52" s="173">
        <f>SUM(J12:J51)</f>
        <v>490000</v>
      </c>
      <c r="O52" s="149"/>
    </row>
    <row r="53" spans="1:15" ht="15.75">
      <c r="A53" s="77" t="s">
        <v>270</v>
      </c>
      <c r="B53" s="180">
        <v>141</v>
      </c>
      <c r="C53" s="8" t="s">
        <v>3</v>
      </c>
      <c r="D53" s="151">
        <v>10000</v>
      </c>
      <c r="E53" s="8" t="s">
        <v>269</v>
      </c>
      <c r="F53" s="9">
        <v>29604</v>
      </c>
      <c r="J53" s="177">
        <v>30000</v>
      </c>
      <c r="O53" s="148" t="s">
        <v>0</v>
      </c>
    </row>
    <row r="54" spans="1:15" ht="15.75">
      <c r="A54" s="77" t="s">
        <v>44</v>
      </c>
      <c r="B54" s="179"/>
      <c r="C54" s="8" t="s">
        <v>3</v>
      </c>
      <c r="D54" s="151">
        <v>10000</v>
      </c>
      <c r="E54" s="8" t="s">
        <v>45</v>
      </c>
      <c r="F54" s="9">
        <v>15069</v>
      </c>
      <c r="J54" s="177">
        <v>20000</v>
      </c>
      <c r="O54" s="148" t="s">
        <v>0</v>
      </c>
    </row>
    <row r="55" spans="1:15" ht="15.75">
      <c r="A55" s="77" t="s">
        <v>274</v>
      </c>
      <c r="B55" s="179"/>
      <c r="C55" s="8" t="s">
        <v>3</v>
      </c>
      <c r="D55" s="151">
        <v>20000</v>
      </c>
      <c r="E55" s="8" t="s">
        <v>273</v>
      </c>
      <c r="F55" s="9">
        <v>6720</v>
      </c>
      <c r="J55" s="177"/>
      <c r="O55" s="148" t="s">
        <v>0</v>
      </c>
    </row>
    <row r="56" spans="1:19" ht="38.25">
      <c r="A56" s="77" t="s">
        <v>278</v>
      </c>
      <c r="B56" s="179"/>
      <c r="C56" s="8" t="s">
        <v>3</v>
      </c>
      <c r="D56" s="151">
        <v>180000</v>
      </c>
      <c r="E56" s="196" t="s">
        <v>277</v>
      </c>
      <c r="F56" s="9">
        <v>168570</v>
      </c>
      <c r="J56" s="177">
        <f>21*1500+96500</f>
        <v>128000</v>
      </c>
      <c r="K56" s="9" t="s">
        <v>433</v>
      </c>
      <c r="O56" s="148" t="s">
        <v>398</v>
      </c>
      <c r="P56" s="148" t="s">
        <v>399</v>
      </c>
      <c r="S56" s="148" t="s">
        <v>326</v>
      </c>
    </row>
    <row r="57" spans="1:15" ht="31.5">
      <c r="A57" s="77" t="s">
        <v>276</v>
      </c>
      <c r="B57" s="179"/>
      <c r="C57" s="8" t="s">
        <v>3</v>
      </c>
      <c r="D57" s="151">
        <v>190000</v>
      </c>
      <c r="E57" s="196" t="s">
        <v>275</v>
      </c>
      <c r="F57" s="9">
        <v>88986</v>
      </c>
      <c r="J57" s="177">
        <v>90000</v>
      </c>
      <c r="O57" s="148" t="s">
        <v>326</v>
      </c>
    </row>
    <row r="58" spans="1:15" ht="15.75">
      <c r="A58" s="77" t="s">
        <v>404</v>
      </c>
      <c r="B58" s="198"/>
      <c r="C58" s="8"/>
      <c r="D58" s="58"/>
      <c r="E58" s="196" t="s">
        <v>275</v>
      </c>
      <c r="J58" s="200">
        <v>100000</v>
      </c>
      <c r="K58" s="9" t="s">
        <v>431</v>
      </c>
      <c r="O58" s="148"/>
    </row>
    <row r="59" spans="1:15" ht="31.5">
      <c r="A59" s="77" t="s">
        <v>280</v>
      </c>
      <c r="B59" s="179"/>
      <c r="C59" s="8" t="s">
        <v>3</v>
      </c>
      <c r="D59" s="151">
        <v>150000</v>
      </c>
      <c r="E59" s="8" t="s">
        <v>279</v>
      </c>
      <c r="F59" s="9">
        <v>102425</v>
      </c>
      <c r="J59" s="177">
        <v>30000</v>
      </c>
      <c r="O59" s="148" t="s">
        <v>326</v>
      </c>
    </row>
    <row r="60" spans="1:15" ht="31.5">
      <c r="A60" s="77" t="s">
        <v>402</v>
      </c>
      <c r="B60" s="198"/>
      <c r="C60" s="8"/>
      <c r="D60" s="58"/>
      <c r="E60" s="8" t="s">
        <v>401</v>
      </c>
      <c r="J60" s="200">
        <v>400000</v>
      </c>
      <c r="K60" s="9" t="s">
        <v>432</v>
      </c>
      <c r="O60" s="148"/>
    </row>
    <row r="61" spans="1:15" ht="15.75">
      <c r="A61" s="77" t="s">
        <v>391</v>
      </c>
      <c r="B61" s="179"/>
      <c r="C61" s="8" t="s">
        <v>3</v>
      </c>
      <c r="D61" s="151">
        <v>190000</v>
      </c>
      <c r="E61" s="8" t="s">
        <v>40</v>
      </c>
      <c r="F61" s="155">
        <v>93874</v>
      </c>
      <c r="J61" s="177">
        <f>90000</f>
        <v>90000</v>
      </c>
      <c r="O61" s="148" t="s">
        <v>326</v>
      </c>
    </row>
    <row r="62" spans="1:15" ht="15.75">
      <c r="A62" s="77" t="s">
        <v>391</v>
      </c>
      <c r="B62" s="179"/>
      <c r="C62" s="8" t="s">
        <v>3</v>
      </c>
      <c r="D62" s="151"/>
      <c r="E62" s="196" t="s">
        <v>40</v>
      </c>
      <c r="F62" s="155"/>
      <c r="J62" s="200">
        <v>100000</v>
      </c>
      <c r="K62" s="9" t="s">
        <v>430</v>
      </c>
      <c r="O62" s="148" t="s">
        <v>326</v>
      </c>
    </row>
    <row r="63" spans="1:15" ht="15.75">
      <c r="A63" s="77" t="s">
        <v>360</v>
      </c>
      <c r="B63" s="153"/>
      <c r="C63" s="8"/>
      <c r="D63" s="151"/>
      <c r="E63" s="8" t="s">
        <v>361</v>
      </c>
      <c r="F63" s="156">
        <v>8575</v>
      </c>
      <c r="J63" s="177">
        <v>0</v>
      </c>
      <c r="O63" s="148"/>
    </row>
    <row r="64" spans="1:15" ht="15.75">
      <c r="A64" s="77" t="s">
        <v>379</v>
      </c>
      <c r="B64" s="153"/>
      <c r="C64" s="8"/>
      <c r="D64" s="151"/>
      <c r="E64" s="8" t="s">
        <v>380</v>
      </c>
      <c r="F64" s="156">
        <v>1620</v>
      </c>
      <c r="J64" s="177">
        <v>0</v>
      </c>
      <c r="O64" s="148"/>
    </row>
    <row r="65" spans="1:15" s="62" customFormat="1" ht="15.75">
      <c r="A65" s="6"/>
      <c r="B65" s="6"/>
      <c r="C65" s="7"/>
      <c r="D65" s="142">
        <f>SUM(D53:D61)</f>
        <v>750000</v>
      </c>
      <c r="E65" s="7"/>
      <c r="J65" s="173">
        <f>SUM(J53:J64)</f>
        <v>988000</v>
      </c>
      <c r="O65" s="149"/>
    </row>
    <row r="66" spans="1:15" ht="15.75">
      <c r="A66" s="77" t="s">
        <v>396</v>
      </c>
      <c r="B66" s="8">
        <v>230</v>
      </c>
      <c r="C66" s="8" t="s">
        <v>3</v>
      </c>
      <c r="D66" s="151">
        <v>300000</v>
      </c>
      <c r="E66" s="8" t="s">
        <v>50</v>
      </c>
      <c r="J66" s="177">
        <v>150000</v>
      </c>
      <c r="O66" s="148" t="s">
        <v>326</v>
      </c>
    </row>
    <row r="67" spans="1:15" s="62" customFormat="1" ht="15.75">
      <c r="A67" s="6"/>
      <c r="B67" s="6"/>
      <c r="C67" s="7"/>
      <c r="D67" s="142"/>
      <c r="E67" s="7"/>
      <c r="J67" s="173">
        <f>SUM(J66)</f>
        <v>150000</v>
      </c>
      <c r="O67" s="149"/>
    </row>
    <row r="68" spans="1:15" ht="15.75">
      <c r="A68" s="157" t="s">
        <v>51</v>
      </c>
      <c r="B68" s="158">
        <v>280</v>
      </c>
      <c r="C68" s="158" t="s">
        <v>3</v>
      </c>
      <c r="D68" s="159">
        <v>8000</v>
      </c>
      <c r="E68" s="158"/>
      <c r="F68" s="154"/>
      <c r="G68" s="154" t="s">
        <v>362</v>
      </c>
      <c r="H68" s="154"/>
      <c r="I68" s="154"/>
      <c r="J68" s="177">
        <v>2000</v>
      </c>
      <c r="O68" s="160" t="s">
        <v>0</v>
      </c>
    </row>
    <row r="69" spans="1:15" s="62" customFormat="1" ht="15.75">
      <c r="A69" s="6"/>
      <c r="B69" s="7"/>
      <c r="C69" s="7"/>
      <c r="D69" s="170"/>
      <c r="E69" s="7"/>
      <c r="J69" s="173">
        <f>SUM(J68)</f>
        <v>2000</v>
      </c>
      <c r="O69" s="149"/>
    </row>
    <row r="70" spans="1:15" ht="15.75">
      <c r="A70" s="77" t="s">
        <v>337</v>
      </c>
      <c r="B70" s="8" t="s">
        <v>195</v>
      </c>
      <c r="C70" s="8" t="s">
        <v>3</v>
      </c>
      <c r="D70" s="151">
        <v>20000</v>
      </c>
      <c r="E70" s="8" t="s">
        <v>338</v>
      </c>
      <c r="F70" s="154">
        <v>34582</v>
      </c>
      <c r="J70" s="177">
        <v>45000</v>
      </c>
      <c r="O70" s="148" t="s">
        <v>0</v>
      </c>
    </row>
    <row r="71" spans="1:15" ht="15.75">
      <c r="A71" s="77" t="s">
        <v>345</v>
      </c>
      <c r="B71" s="408"/>
      <c r="C71" s="8" t="s">
        <v>3</v>
      </c>
      <c r="D71" s="58">
        <v>195000</v>
      </c>
      <c r="E71" s="8" t="s">
        <v>8</v>
      </c>
      <c r="F71" s="9">
        <v>163424</v>
      </c>
      <c r="J71" s="177">
        <v>180000</v>
      </c>
      <c r="O71" s="148" t="s">
        <v>326</v>
      </c>
    </row>
    <row r="72" spans="1:15" ht="15.75">
      <c r="A72" s="77" t="s">
        <v>26</v>
      </c>
      <c r="B72" s="406"/>
      <c r="C72" s="8" t="s">
        <v>3</v>
      </c>
      <c r="D72" s="58">
        <v>30000</v>
      </c>
      <c r="E72" s="8" t="s">
        <v>25</v>
      </c>
      <c r="F72" s="9">
        <v>4420</v>
      </c>
      <c r="J72" s="177">
        <v>7000</v>
      </c>
      <c r="O72" s="148" t="s">
        <v>0</v>
      </c>
    </row>
    <row r="73" spans="1:15" ht="15.75">
      <c r="A73" s="77" t="s">
        <v>7</v>
      </c>
      <c r="B73" s="406"/>
      <c r="C73" s="8" t="s">
        <v>3</v>
      </c>
      <c r="D73" s="58">
        <v>45000</v>
      </c>
      <c r="E73" s="8" t="s">
        <v>6</v>
      </c>
      <c r="F73" s="9">
        <v>19730</v>
      </c>
      <c r="J73" s="177">
        <v>20000</v>
      </c>
      <c r="O73" s="148" t="s">
        <v>0</v>
      </c>
    </row>
    <row r="74" spans="1:15" ht="47.25">
      <c r="A74" s="77" t="s">
        <v>180</v>
      </c>
      <c r="B74" s="406"/>
      <c r="C74" s="8" t="s">
        <v>3</v>
      </c>
      <c r="D74" s="58">
        <v>25000</v>
      </c>
      <c r="E74" s="8" t="s">
        <v>181</v>
      </c>
      <c r="F74" s="161">
        <v>50733</v>
      </c>
      <c r="J74" s="177">
        <v>45000</v>
      </c>
      <c r="O74" s="148" t="s">
        <v>0</v>
      </c>
    </row>
    <row r="75" spans="1:15" ht="15.75">
      <c r="A75" s="77" t="s">
        <v>46</v>
      </c>
      <c r="B75" s="406"/>
      <c r="C75" s="8" t="s">
        <v>3</v>
      </c>
      <c r="D75" s="58">
        <v>6000</v>
      </c>
      <c r="E75" s="8" t="s">
        <v>47</v>
      </c>
      <c r="F75" s="9">
        <v>480</v>
      </c>
      <c r="J75" s="177">
        <v>1500</v>
      </c>
      <c r="O75" s="148" t="s">
        <v>0</v>
      </c>
    </row>
    <row r="76" spans="1:15" ht="15.75">
      <c r="A76" s="77" t="s">
        <v>28</v>
      </c>
      <c r="B76" s="406"/>
      <c r="C76" s="8" t="s">
        <v>3</v>
      </c>
      <c r="D76" s="58">
        <v>100000</v>
      </c>
      <c r="E76" s="8" t="s">
        <v>27</v>
      </c>
      <c r="F76" s="9">
        <v>63721</v>
      </c>
      <c r="J76" s="177">
        <v>74992</v>
      </c>
      <c r="O76" s="148" t="s">
        <v>326</v>
      </c>
    </row>
    <row r="77" spans="1:15" ht="15.75">
      <c r="A77" s="77" t="s">
        <v>48</v>
      </c>
      <c r="B77" s="406"/>
      <c r="C77" s="8" t="s">
        <v>3</v>
      </c>
      <c r="D77" s="58">
        <v>4200</v>
      </c>
      <c r="E77" s="8" t="s">
        <v>49</v>
      </c>
      <c r="F77" s="9">
        <v>5267</v>
      </c>
      <c r="J77" s="177">
        <v>5500</v>
      </c>
      <c r="O77" s="148" t="s">
        <v>0</v>
      </c>
    </row>
    <row r="78" spans="1:15" ht="15.75">
      <c r="A78" s="77" t="s">
        <v>333</v>
      </c>
      <c r="B78" s="406"/>
      <c r="C78" s="8" t="s">
        <v>3</v>
      </c>
      <c r="D78" s="58">
        <v>3000</v>
      </c>
      <c r="E78" s="8" t="s">
        <v>334</v>
      </c>
      <c r="F78" s="154">
        <v>14500</v>
      </c>
      <c r="J78" s="177">
        <v>7000</v>
      </c>
      <c r="O78" s="148" t="s">
        <v>0</v>
      </c>
    </row>
    <row r="79" spans="1:15" ht="15.75">
      <c r="A79" s="77" t="s">
        <v>335</v>
      </c>
      <c r="B79" s="406"/>
      <c r="C79" s="8" t="s">
        <v>3</v>
      </c>
      <c r="D79" s="58">
        <v>12000</v>
      </c>
      <c r="E79" s="8" t="s">
        <v>336</v>
      </c>
      <c r="J79" s="177">
        <v>0</v>
      </c>
      <c r="O79" s="148" t="s">
        <v>0</v>
      </c>
    </row>
    <row r="80" spans="1:15" ht="31.5">
      <c r="A80" s="77" t="s">
        <v>30</v>
      </c>
      <c r="B80" s="406"/>
      <c r="C80" s="8" t="s">
        <v>3</v>
      </c>
      <c r="D80" s="58">
        <v>30000</v>
      </c>
      <c r="E80" s="8" t="s">
        <v>29</v>
      </c>
      <c r="F80" s="9">
        <v>27294</v>
      </c>
      <c r="J80" s="177">
        <f>6900+6900+6204+6900+4824+6900</f>
        <v>38628</v>
      </c>
      <c r="O80" s="148" t="s">
        <v>0</v>
      </c>
    </row>
    <row r="81" spans="1:15" ht="15.75">
      <c r="A81" s="77" t="s">
        <v>377</v>
      </c>
      <c r="B81" s="406"/>
      <c r="C81" s="8"/>
      <c r="D81" s="58"/>
      <c r="E81" s="8" t="s">
        <v>378</v>
      </c>
      <c r="F81" s="154">
        <v>165000</v>
      </c>
      <c r="J81" s="177">
        <v>180000</v>
      </c>
      <c r="O81" s="148"/>
    </row>
    <row r="82" spans="1:15" ht="15.75">
      <c r="A82" s="77" t="s">
        <v>52</v>
      </c>
      <c r="B82" s="406"/>
      <c r="C82" s="8" t="s">
        <v>3</v>
      </c>
      <c r="D82" s="58">
        <v>40000</v>
      </c>
      <c r="E82" s="8" t="s">
        <v>363</v>
      </c>
      <c r="F82" s="9">
        <v>107752.92</v>
      </c>
      <c r="J82" s="177">
        <v>191750</v>
      </c>
      <c r="O82" s="148" t="s">
        <v>0</v>
      </c>
    </row>
    <row r="83" spans="1:15" ht="15.75">
      <c r="A83" s="77" t="s">
        <v>339</v>
      </c>
      <c r="B83" s="406"/>
      <c r="C83" s="8" t="s">
        <v>3</v>
      </c>
      <c r="D83" s="58">
        <v>1000</v>
      </c>
      <c r="E83" s="8" t="s">
        <v>340</v>
      </c>
      <c r="F83" s="9">
        <v>816</v>
      </c>
      <c r="J83" s="177">
        <v>1000</v>
      </c>
      <c r="O83" s="148" t="s">
        <v>0</v>
      </c>
    </row>
    <row r="84" spans="1:15" ht="15.75">
      <c r="A84" s="77" t="s">
        <v>5</v>
      </c>
      <c r="B84" s="406"/>
      <c r="C84" s="8" t="s">
        <v>3</v>
      </c>
      <c r="D84" s="58">
        <v>22800</v>
      </c>
      <c r="E84" s="8" t="s">
        <v>4</v>
      </c>
      <c r="F84" s="9">
        <v>17630</v>
      </c>
      <c r="J84" s="177">
        <v>17630</v>
      </c>
      <c r="K84" s="9">
        <f>(783.6+98.09*3)*12</f>
        <v>12934.439999999999</v>
      </c>
      <c r="O84" s="148" t="s">
        <v>0</v>
      </c>
    </row>
    <row r="85" spans="1:15" ht="15.75">
      <c r="A85" s="77" t="s">
        <v>287</v>
      </c>
      <c r="B85" s="406"/>
      <c r="C85" s="8" t="s">
        <v>3</v>
      </c>
      <c r="D85" s="58">
        <v>11000</v>
      </c>
      <c r="E85" s="8" t="s">
        <v>281</v>
      </c>
      <c r="F85" s="9">
        <v>10483</v>
      </c>
      <c r="J85" s="177">
        <v>0</v>
      </c>
      <c r="O85" s="148" t="s">
        <v>0</v>
      </c>
    </row>
    <row r="86" spans="1:15" ht="15.75">
      <c r="A86" s="77" t="s">
        <v>364</v>
      </c>
      <c r="B86" s="406"/>
      <c r="C86" s="8"/>
      <c r="D86" s="58"/>
      <c r="E86" s="8" t="s">
        <v>365</v>
      </c>
      <c r="F86" s="154">
        <v>28976</v>
      </c>
      <c r="J86" s="177">
        <v>0</v>
      </c>
      <c r="O86" s="148"/>
    </row>
    <row r="87" spans="1:15" ht="15.75">
      <c r="A87" s="77" t="s">
        <v>366</v>
      </c>
      <c r="B87" s="406"/>
      <c r="C87" s="8"/>
      <c r="D87" s="58"/>
      <c r="E87" s="8" t="s">
        <v>367</v>
      </c>
      <c r="F87" s="154">
        <v>29370</v>
      </c>
      <c r="J87" s="177">
        <v>0</v>
      </c>
      <c r="O87" s="148"/>
    </row>
    <row r="88" spans="1:15" ht="15.75">
      <c r="A88" s="77" t="s">
        <v>368</v>
      </c>
      <c r="B88" s="406"/>
      <c r="C88" s="8"/>
      <c r="D88" s="58"/>
      <c r="E88" s="8" t="s">
        <v>369</v>
      </c>
      <c r="F88" s="154">
        <v>161018</v>
      </c>
      <c r="G88" s="404" t="s">
        <v>370</v>
      </c>
      <c r="H88" s="404"/>
      <c r="I88" s="404"/>
      <c r="J88" s="177">
        <v>45000</v>
      </c>
      <c r="O88" s="148"/>
    </row>
    <row r="89" spans="1:15" ht="15.75">
      <c r="A89" s="77" t="s">
        <v>371</v>
      </c>
      <c r="B89" s="407"/>
      <c r="C89" s="8"/>
      <c r="D89" s="58"/>
      <c r="E89" s="8" t="s">
        <v>372</v>
      </c>
      <c r="F89" s="154">
        <v>10700</v>
      </c>
      <c r="G89" s="154"/>
      <c r="H89" s="154"/>
      <c r="I89" s="154"/>
      <c r="J89" s="177">
        <v>0</v>
      </c>
      <c r="O89" s="148"/>
    </row>
    <row r="90" spans="1:15" s="62" customFormat="1" ht="15.75">
      <c r="A90" s="6"/>
      <c r="B90" s="6"/>
      <c r="C90" s="7"/>
      <c r="D90" s="142">
        <f>SUM(D66:D85)</f>
        <v>853000</v>
      </c>
      <c r="E90" s="7"/>
      <c r="J90" s="173">
        <f>SUM(J70:J89)</f>
        <v>860000</v>
      </c>
      <c r="O90" s="149"/>
    </row>
    <row r="91" spans="1:15" ht="15.75">
      <c r="A91" s="77" t="s">
        <v>346</v>
      </c>
      <c r="B91" s="406"/>
      <c r="C91" s="8"/>
      <c r="D91" s="58">
        <v>500000</v>
      </c>
      <c r="E91" s="8" t="s">
        <v>347</v>
      </c>
      <c r="F91" s="9" t="s">
        <v>349</v>
      </c>
      <c r="J91" s="172">
        <v>0</v>
      </c>
      <c r="O91" s="148"/>
    </row>
    <row r="92" spans="1:15" ht="15.75">
      <c r="A92" s="77" t="s">
        <v>351</v>
      </c>
      <c r="B92" s="407"/>
      <c r="C92" s="8"/>
      <c r="D92" s="58">
        <v>250000</v>
      </c>
      <c r="E92" s="8" t="s">
        <v>348</v>
      </c>
      <c r="F92" s="9" t="s">
        <v>350</v>
      </c>
      <c r="J92" s="172">
        <v>0</v>
      </c>
      <c r="O92" s="148"/>
    </row>
    <row r="93" spans="1:15" s="62" customFormat="1" ht="15.75">
      <c r="A93" s="143"/>
      <c r="B93" s="143"/>
      <c r="D93" s="146">
        <f>SUM(D91:D92)</f>
        <v>750000</v>
      </c>
      <c r="J93" s="173">
        <f>SUM(J91:J92)</f>
        <v>0</v>
      </c>
      <c r="O93" s="150"/>
    </row>
    <row r="94" spans="1:15" ht="15.75">
      <c r="A94" s="77" t="s">
        <v>395</v>
      </c>
      <c r="B94" s="8">
        <v>230</v>
      </c>
      <c r="C94" s="8" t="s">
        <v>3</v>
      </c>
      <c r="D94" s="151">
        <v>600000</v>
      </c>
      <c r="E94" s="8" t="s">
        <v>50</v>
      </c>
      <c r="J94" s="172">
        <v>0</v>
      </c>
      <c r="O94" s="148" t="s">
        <v>326</v>
      </c>
    </row>
    <row r="95" spans="1:15" s="62" customFormat="1" ht="15.75">
      <c r="A95" s="143"/>
      <c r="B95" s="143"/>
      <c r="D95" s="146">
        <f>SUM(D94)</f>
        <v>600000</v>
      </c>
      <c r="J95" s="174">
        <f>SUM(J94)</f>
        <v>0</v>
      </c>
      <c r="O95" s="150"/>
    </row>
    <row r="96" spans="4:10" ht="15.75">
      <c r="D96" s="152">
        <f>D8+D11+D52+D65+D90+D93+D95</f>
        <v>5223000</v>
      </c>
      <c r="J96" s="177"/>
    </row>
    <row r="97" spans="1:15" ht="15.75">
      <c r="A97" s="77" t="s">
        <v>403</v>
      </c>
      <c r="B97" s="199"/>
      <c r="C97" s="8"/>
      <c r="D97" s="58"/>
      <c r="E97" s="8"/>
      <c r="J97" s="177">
        <f>400000+300000</f>
        <v>700000</v>
      </c>
      <c r="O97" s="148"/>
    </row>
    <row r="98" spans="1:15" s="62" customFormat="1" ht="15.75">
      <c r="A98" s="6"/>
      <c r="B98" s="6"/>
      <c r="C98" s="7"/>
      <c r="D98" s="142"/>
      <c r="E98" s="7"/>
      <c r="J98" s="173">
        <f>SUM(J60:J97)</f>
        <v>4302000</v>
      </c>
      <c r="O98" s="149"/>
    </row>
    <row r="100" spans="8:12" ht="15.75">
      <c r="H100" s="178" t="s">
        <v>400</v>
      </c>
      <c r="L100" s="178" t="s">
        <v>440</v>
      </c>
    </row>
    <row r="101" spans="8:12" ht="15.75">
      <c r="H101" s="9" t="s">
        <v>392</v>
      </c>
      <c r="J101" s="172">
        <v>1683358.35</v>
      </c>
      <c r="L101" s="165">
        <v>1650000</v>
      </c>
    </row>
    <row r="102" spans="1:12" ht="15.75">
      <c r="A102" s="9"/>
      <c r="H102" s="9" t="s">
        <v>393</v>
      </c>
      <c r="J102" s="172">
        <v>369122.33</v>
      </c>
      <c r="L102" s="165">
        <v>360000</v>
      </c>
    </row>
    <row r="103" spans="10:12" ht="15.75">
      <c r="J103" s="172"/>
      <c r="L103" s="165"/>
    </row>
    <row r="104" spans="8:12" ht="15.75">
      <c r="H104" s="9" t="s">
        <v>394</v>
      </c>
      <c r="J104" s="172">
        <v>321518.84</v>
      </c>
      <c r="L104" s="165">
        <v>260000</v>
      </c>
    </row>
    <row r="105" spans="8:12" ht="15.75">
      <c r="H105" s="9" t="s">
        <v>393</v>
      </c>
      <c r="J105" s="172">
        <v>69288.67</v>
      </c>
      <c r="L105" s="165">
        <v>57000</v>
      </c>
    </row>
    <row r="107" spans="10:12" ht="15.75">
      <c r="J107" s="205">
        <f>SUM(J101:J106)</f>
        <v>2443288.19</v>
      </c>
      <c r="K107" s="205"/>
      <c r="L107" s="205">
        <f>SUM(L101:L106)</f>
        <v>2327000</v>
      </c>
    </row>
    <row r="108" spans="8:10" ht="15.75">
      <c r="H108" s="9" t="s">
        <v>441</v>
      </c>
      <c r="J108" s="176">
        <v>29036498</v>
      </c>
    </row>
    <row r="109" spans="8:12" ht="15.75">
      <c r="H109" s="9" t="s">
        <v>442</v>
      </c>
      <c r="J109" s="176">
        <v>2802317.06</v>
      </c>
      <c r="L109" s="206"/>
    </row>
    <row r="110" spans="8:12" ht="15.75">
      <c r="H110" s="208" t="s">
        <v>443</v>
      </c>
      <c r="J110" s="176">
        <f>J109*12</f>
        <v>33627804.72</v>
      </c>
      <c r="L110" s="207">
        <f>J110+22195.28</f>
        <v>33650000</v>
      </c>
    </row>
    <row r="111" spans="1:15" ht="15.75">
      <c r="A111" s="77" t="s">
        <v>407</v>
      </c>
      <c r="C111" s="8"/>
      <c r="D111" s="58"/>
      <c r="E111" s="8" t="s">
        <v>406</v>
      </c>
      <c r="J111" s="177">
        <v>40000</v>
      </c>
      <c r="O111" s="148"/>
    </row>
    <row r="112" spans="1:15" ht="31.5">
      <c r="A112" s="77" t="s">
        <v>411</v>
      </c>
      <c r="C112" s="8"/>
      <c r="D112" s="58"/>
      <c r="E112" s="196" t="s">
        <v>277</v>
      </c>
      <c r="H112" s="9">
        <v>7050</v>
      </c>
      <c r="I112" s="9">
        <v>10</v>
      </c>
      <c r="J112" s="177">
        <f>H112*I112</f>
        <v>70500</v>
      </c>
      <c r="L112" s="206">
        <f>L110-J108</f>
        <v>4613502</v>
      </c>
      <c r="O112" s="148"/>
    </row>
    <row r="113" spans="1:15" ht="15.75">
      <c r="A113" s="77" t="s">
        <v>426</v>
      </c>
      <c r="C113" s="8"/>
      <c r="D113" s="58"/>
      <c r="E113" s="8" t="s">
        <v>219</v>
      </c>
      <c r="J113" s="177">
        <f>183200-J114+6300</f>
        <v>30500</v>
      </c>
      <c r="O113" s="148"/>
    </row>
    <row r="114" spans="1:15" ht="15.75">
      <c r="A114" s="77" t="s">
        <v>427</v>
      </c>
      <c r="C114" s="8"/>
      <c r="D114" s="58"/>
      <c r="E114" s="8" t="s">
        <v>406</v>
      </c>
      <c r="H114" s="9">
        <v>79500</v>
      </c>
      <c r="I114" s="9">
        <v>2</v>
      </c>
      <c r="J114" s="177">
        <f>H114*I114</f>
        <v>159000</v>
      </c>
      <c r="O114" s="148"/>
    </row>
    <row r="115" spans="1:15" ht="15.75">
      <c r="A115" s="77"/>
      <c r="C115" s="8"/>
      <c r="D115" s="58"/>
      <c r="E115" s="8"/>
      <c r="J115" s="177"/>
      <c r="O115" s="148"/>
    </row>
    <row r="116" spans="1:15" s="62" customFormat="1" ht="15.75">
      <c r="A116" s="6"/>
      <c r="B116" s="6"/>
      <c r="C116" s="7"/>
      <c r="D116" s="142"/>
      <c r="E116" s="7"/>
      <c r="J116" s="173">
        <f>SUM(J111:J115)</f>
        <v>300000</v>
      </c>
      <c r="O116" s="149"/>
    </row>
    <row r="119" ht="15.75">
      <c r="A119" s="197" t="s">
        <v>425</v>
      </c>
    </row>
    <row r="122" spans="1:6" ht="78.75">
      <c r="A122" s="186" t="s">
        <v>408</v>
      </c>
      <c r="B122" s="187" t="s">
        <v>409</v>
      </c>
      <c r="C122" s="188" t="s">
        <v>58</v>
      </c>
      <c r="D122" s="188" t="s">
        <v>387</v>
      </c>
      <c r="E122" s="189">
        <v>1.068</v>
      </c>
      <c r="F122" s="190" t="s">
        <v>410</v>
      </c>
    </row>
    <row r="123" spans="1:6" ht="63">
      <c r="A123" s="191" t="s">
        <v>411</v>
      </c>
      <c r="B123" s="192" t="s">
        <v>412</v>
      </c>
      <c r="C123" s="193" t="s">
        <v>413</v>
      </c>
      <c r="D123" s="193" t="s">
        <v>414</v>
      </c>
      <c r="E123" s="401" t="s">
        <v>277</v>
      </c>
      <c r="F123" s="401" t="s">
        <v>415</v>
      </c>
    </row>
    <row r="124" spans="1:6" ht="47.25">
      <c r="A124" s="191" t="s">
        <v>416</v>
      </c>
      <c r="B124" s="192" t="s">
        <v>417</v>
      </c>
      <c r="C124" s="193" t="s">
        <v>418</v>
      </c>
      <c r="D124" s="193" t="s">
        <v>417</v>
      </c>
      <c r="E124" s="402"/>
      <c r="F124" s="402"/>
    </row>
    <row r="125" spans="1:6" ht="47.25">
      <c r="A125" s="191" t="s">
        <v>419</v>
      </c>
      <c r="B125" s="192" t="s">
        <v>420</v>
      </c>
      <c r="C125" s="193" t="s">
        <v>421</v>
      </c>
      <c r="D125" s="193" t="s">
        <v>422</v>
      </c>
      <c r="E125" s="403"/>
      <c r="F125" s="403"/>
    </row>
    <row r="126" spans="1:6" ht="16.5">
      <c r="A126" s="191"/>
      <c r="B126" s="192"/>
      <c r="C126" s="193"/>
      <c r="D126" s="194" t="s">
        <v>423</v>
      </c>
      <c r="E126" s="195"/>
      <c r="F126" s="195"/>
    </row>
  </sheetData>
  <sheetProtection/>
  <mergeCells count="8">
    <mergeCell ref="E123:E125"/>
    <mergeCell ref="F123:F125"/>
    <mergeCell ref="G88:I88"/>
    <mergeCell ref="B2:B7"/>
    <mergeCell ref="B9:B10"/>
    <mergeCell ref="B91:B92"/>
    <mergeCell ref="B13:B51"/>
    <mergeCell ref="B71:B89"/>
  </mergeCells>
  <dataValidations count="5">
    <dataValidation allowBlank="1" showInputMessage="1" showErrorMessage="1" promptTitle="обов'язкове" prompt="обов'язкове" sqref="E1 E91:E93 E127:E65536 E60 E95:E121"/>
    <dataValidation showInputMessage="1" showErrorMessage="1" promptTitle="Оберіть значення зі списку" prompt="Оберіть значення зі списку" errorTitle="Оберіть значення зі списку" error="Оберіть значення зі списку" sqref="Q1"/>
    <dataValidation allowBlank="1" showInputMessage="1" showErrorMessage="1" promptTitle="Оберіть значення зі списку" prompt="Оберіть значення зі списку" errorTitle="Оберіть значення зі списку" error="Оберіть значення зі списку" sqref="C1"/>
    <dataValidation type="decimal" allowBlank="1" showInputMessage="1" showErrorMessage="1" errorTitle="Очікувана вартість" error="Очікувана вартість предмета закупівлі - тілько число" sqref="E73 D6 D1:D2 E75:E76 E68:E69 D37:D46 D127:D65536 D58 D60 D66:D121">
      <formula1>0</formula1>
      <formula2>1E+32</formula2>
    </dataValidation>
    <dataValidation type="textLength" allowBlank="1" showInputMessage="1" showErrorMessage="1" promptTitle="обов'язкове" prompt="обов'язкове" sqref="A1:B1 E85:E90 E12:E14 A78:A79 A82:A83 A37:A44 A91:A93 B93 A97:A101 A103:A110 A127:B65536 B98:B121 A112:A118 A120:A121 B60 A95:B96">
      <formula1>1</formula1>
      <formula2>200000</formula2>
    </dataValidation>
  </dataValidations>
  <hyperlinks>
    <hyperlink ref="A60" r:id="rId1" display="https://e-tender.biz/tender/produkti-harchuvannya/UA-2020-01-15-001695-c-speczialni-produkty-xarchuvannya-zbahacheni-pozhyvnymy-rechovynamy-za-kodom-cpv-za"/>
  </hyperlinks>
  <printOptions/>
  <pageMargins left="0.1968503937007874" right="0.1968503937007874" top="0.1968503937007874" bottom="0.1968503937007874" header="0.1968503937007874" footer="0.1968503937007874"/>
  <pageSetup horizontalDpi="600" verticalDpi="600" orientation="portrait" paperSize="9" scale="75" r:id="rId2"/>
</worksheet>
</file>

<file path=xl/worksheets/sheet3.xml><?xml version="1.0" encoding="utf-8"?>
<worksheet xmlns="http://schemas.openxmlformats.org/spreadsheetml/2006/main" xmlns:r="http://schemas.openxmlformats.org/officeDocument/2006/relationships">
  <sheetPr>
    <pageSetUpPr fitToPage="1"/>
  </sheetPr>
  <dimension ref="A1:AN331"/>
  <sheetViews>
    <sheetView zoomScale="70" zoomScaleNormal="70" zoomScalePageLayoutView="0" workbookViewId="0" topLeftCell="B22">
      <selection activeCell="B38" sqref="B38"/>
    </sheetView>
  </sheetViews>
  <sheetFormatPr defaultColWidth="9.140625" defaultRowHeight="15"/>
  <cols>
    <col min="1" max="1" width="4.8515625" style="12" hidden="1" customWidth="1"/>
    <col min="2" max="2" width="73.140625" style="12" customWidth="1"/>
    <col min="3" max="3" width="7.140625" style="13" customWidth="1"/>
    <col min="4" max="4" width="8.140625" style="13" customWidth="1"/>
    <col min="5" max="5" width="7.7109375" style="13" customWidth="1"/>
    <col min="6" max="6" width="14.140625" style="95" customWidth="1"/>
    <col min="7" max="7" width="12.140625" style="95" customWidth="1"/>
    <col min="8" max="8" width="12.8515625" style="95" customWidth="1"/>
    <col min="9" max="9" width="14.8515625" style="95" customWidth="1"/>
    <col min="10" max="10" width="15.57421875" style="95" customWidth="1"/>
    <col min="11" max="11" width="11.28125" style="12" customWidth="1"/>
    <col min="12" max="12" width="24.7109375" style="22" customWidth="1"/>
    <col min="13" max="13" width="23.00390625" style="12" customWidth="1"/>
    <col min="14" max="14" width="20.57421875" style="12" customWidth="1"/>
    <col min="15" max="16" width="20.57421875" style="12" bestFit="1" customWidth="1"/>
    <col min="17" max="17" width="16.57421875" style="12" bestFit="1" customWidth="1"/>
    <col min="18" max="18" width="17.00390625" style="12" bestFit="1" customWidth="1"/>
    <col min="19" max="22" width="18.57421875" style="12" bestFit="1" customWidth="1"/>
    <col min="23" max="23" width="25.8515625" style="12" customWidth="1"/>
    <col min="24" max="24" width="21.57421875" style="12" customWidth="1"/>
    <col min="25" max="25" width="18.57421875" style="12" bestFit="1" customWidth="1"/>
    <col min="26" max="26" width="26.57421875" style="12" customWidth="1"/>
    <col min="27" max="27" width="22.7109375" style="12" customWidth="1"/>
    <col min="28" max="28" width="12.140625" style="12" customWidth="1"/>
    <col min="29" max="34" width="9.140625" style="12" customWidth="1"/>
    <col min="35" max="35" width="22.57421875" style="12" customWidth="1"/>
    <col min="36" max="39" width="9.140625" style="12" customWidth="1"/>
    <col min="40" max="40" width="20.421875" style="12" bestFit="1" customWidth="1"/>
    <col min="41" max="16384" width="9.140625" style="12" customWidth="1"/>
  </cols>
  <sheetData>
    <row r="1" spans="7:35" ht="18.75">
      <c r="G1" s="95" t="s">
        <v>60</v>
      </c>
      <c r="AG1" s="12" t="s">
        <v>384</v>
      </c>
      <c r="AI1" s="95" t="s">
        <v>383</v>
      </c>
    </row>
    <row r="2" spans="2:40" ht="18.75">
      <c r="B2" s="13"/>
      <c r="E2" s="12"/>
      <c r="F2" s="95" t="s">
        <v>61</v>
      </c>
      <c r="AG2" s="12" t="s">
        <v>387</v>
      </c>
      <c r="AI2" s="164">
        <v>2000000</v>
      </c>
      <c r="AJ2"/>
      <c r="AK2" s="162"/>
      <c r="AL2"/>
      <c r="AM2"/>
      <c r="AN2" s="162"/>
    </row>
    <row r="3" spans="2:6" ht="18.75">
      <c r="B3" s="13"/>
      <c r="E3" s="12"/>
      <c r="F3" s="95" t="s">
        <v>444</v>
      </c>
    </row>
    <row r="4" spans="2:40" ht="18.75">
      <c r="B4" s="13"/>
      <c r="E4" s="12"/>
      <c r="AG4" s="12" t="s">
        <v>385</v>
      </c>
      <c r="AI4" s="95" t="s">
        <v>386</v>
      </c>
      <c r="AN4" s="163"/>
    </row>
    <row r="5" spans="2:35" ht="18.75">
      <c r="B5" s="13"/>
      <c r="E5" s="12"/>
      <c r="F5" s="95" t="s">
        <v>62</v>
      </c>
      <c r="I5" s="95" t="s">
        <v>63</v>
      </c>
      <c r="AG5" s="12" t="s">
        <v>387</v>
      </c>
      <c r="AI5" s="164">
        <v>29036498</v>
      </c>
    </row>
    <row r="7" spans="8:9" ht="18.75">
      <c r="H7" s="96" t="s">
        <v>64</v>
      </c>
      <c r="I7" s="135"/>
    </row>
    <row r="8" spans="8:9" ht="18.75">
      <c r="H8" s="96" t="s">
        <v>66</v>
      </c>
      <c r="I8" s="132"/>
    </row>
    <row r="9" spans="8:9" ht="18.75">
      <c r="H9" s="96" t="s">
        <v>67</v>
      </c>
      <c r="I9" s="132"/>
    </row>
    <row r="10" spans="8:9" ht="18.75">
      <c r="H10" s="96" t="s">
        <v>68</v>
      </c>
      <c r="I10" s="204" t="s">
        <v>65</v>
      </c>
    </row>
    <row r="11" spans="8:9" ht="18.75">
      <c r="H11" s="409" t="s">
        <v>69</v>
      </c>
      <c r="I11" s="410"/>
    </row>
    <row r="13" spans="3:10" ht="18.75">
      <c r="C13" s="411"/>
      <c r="D13" s="411"/>
      <c r="E13" s="411"/>
      <c r="F13" s="411"/>
      <c r="I13" s="412" t="s">
        <v>70</v>
      </c>
      <c r="J13" s="412"/>
    </row>
    <row r="14" spans="2:10" ht="26.25" customHeight="1">
      <c r="B14" s="16" t="s">
        <v>71</v>
      </c>
      <c r="C14" s="413" t="s">
        <v>72</v>
      </c>
      <c r="D14" s="413"/>
      <c r="E14" s="413"/>
      <c r="F14" s="413"/>
      <c r="G14" s="413"/>
      <c r="H14" s="97"/>
      <c r="I14" s="96" t="s">
        <v>73</v>
      </c>
      <c r="J14" s="132">
        <v>39007143</v>
      </c>
    </row>
    <row r="15" spans="2:10" ht="18.75">
      <c r="B15" s="16" t="s">
        <v>74</v>
      </c>
      <c r="C15" s="414" t="s">
        <v>75</v>
      </c>
      <c r="D15" s="414"/>
      <c r="E15" s="414"/>
      <c r="F15" s="414"/>
      <c r="G15" s="98"/>
      <c r="H15" s="99"/>
      <c r="I15" s="96" t="s">
        <v>76</v>
      </c>
      <c r="J15" s="132">
        <v>150</v>
      </c>
    </row>
    <row r="16" spans="2:10" ht="18.75">
      <c r="B16" s="16" t="s">
        <v>77</v>
      </c>
      <c r="C16" s="414" t="s">
        <v>78</v>
      </c>
      <c r="D16" s="414"/>
      <c r="E16" s="414"/>
      <c r="F16" s="414"/>
      <c r="G16" s="98"/>
      <c r="H16" s="99"/>
      <c r="I16" s="96" t="s">
        <v>79</v>
      </c>
      <c r="J16" s="132">
        <v>2610600000</v>
      </c>
    </row>
    <row r="17" spans="2:10" ht="18.75">
      <c r="B17" s="16" t="s">
        <v>80</v>
      </c>
      <c r="C17" s="414"/>
      <c r="D17" s="414"/>
      <c r="E17" s="414"/>
      <c r="F17" s="414"/>
      <c r="G17" s="100"/>
      <c r="H17" s="97"/>
      <c r="I17" s="96" t="s">
        <v>81</v>
      </c>
      <c r="J17" s="132"/>
    </row>
    <row r="18" spans="2:10" ht="18.75">
      <c r="B18" s="16" t="s">
        <v>82</v>
      </c>
      <c r="C18" s="414"/>
      <c r="D18" s="414"/>
      <c r="E18" s="414"/>
      <c r="F18" s="414"/>
      <c r="G18" s="100"/>
      <c r="H18" s="97"/>
      <c r="I18" s="96" t="s">
        <v>83</v>
      </c>
      <c r="J18" s="132"/>
    </row>
    <row r="19" spans="2:10" ht="18.75">
      <c r="B19" s="16" t="s">
        <v>84</v>
      </c>
      <c r="C19" s="414"/>
      <c r="D19" s="414"/>
      <c r="E19" s="414"/>
      <c r="F19" s="414"/>
      <c r="G19" s="100"/>
      <c r="H19" s="101"/>
      <c r="I19" s="102" t="s">
        <v>85</v>
      </c>
      <c r="J19" s="132" t="s">
        <v>86</v>
      </c>
    </row>
    <row r="20" spans="2:10" ht="18.75">
      <c r="B20" s="16" t="s">
        <v>87</v>
      </c>
      <c r="C20" s="414"/>
      <c r="D20" s="414"/>
      <c r="E20" s="414"/>
      <c r="F20" s="414"/>
      <c r="G20" s="415" t="s">
        <v>88</v>
      </c>
      <c r="H20" s="416"/>
      <c r="I20" s="417"/>
      <c r="J20" s="131" t="s">
        <v>65</v>
      </c>
    </row>
    <row r="21" spans="2:10" ht="18.75">
      <c r="B21" s="16" t="s">
        <v>89</v>
      </c>
      <c r="C21" s="414" t="s">
        <v>90</v>
      </c>
      <c r="D21" s="414"/>
      <c r="E21" s="414"/>
      <c r="F21" s="414"/>
      <c r="G21" s="415" t="s">
        <v>91</v>
      </c>
      <c r="H21" s="416"/>
      <c r="I21" s="417"/>
      <c r="J21" s="103"/>
    </row>
    <row r="22" spans="2:10" ht="18.75">
      <c r="B22" s="16" t="s">
        <v>92</v>
      </c>
      <c r="C22" s="421">
        <v>220</v>
      </c>
      <c r="D22" s="421"/>
      <c r="E22" s="421"/>
      <c r="F22" s="421"/>
      <c r="G22" s="100"/>
      <c r="H22" s="100"/>
      <c r="I22" s="100"/>
      <c r="J22" s="97"/>
    </row>
    <row r="23" spans="2:10" ht="18.75">
      <c r="B23" s="16" t="s">
        <v>93</v>
      </c>
      <c r="C23" s="414" t="s">
        <v>94</v>
      </c>
      <c r="D23" s="414"/>
      <c r="E23" s="414"/>
      <c r="F23" s="414"/>
      <c r="G23" s="414"/>
      <c r="H23" s="414"/>
      <c r="I23" s="414"/>
      <c r="J23" s="422"/>
    </row>
    <row r="24" spans="2:10" ht="18.75">
      <c r="B24" s="16" t="s">
        <v>95</v>
      </c>
      <c r="C24" s="423" t="s">
        <v>96</v>
      </c>
      <c r="D24" s="423"/>
      <c r="E24" s="423"/>
      <c r="F24" s="423"/>
      <c r="G24" s="100"/>
      <c r="H24" s="100"/>
      <c r="I24" s="100"/>
      <c r="J24" s="97"/>
    </row>
    <row r="25" spans="2:10" ht="18.75">
      <c r="B25" s="16" t="s">
        <v>97</v>
      </c>
      <c r="C25" s="421" t="s">
        <v>98</v>
      </c>
      <c r="D25" s="421"/>
      <c r="E25" s="421"/>
      <c r="F25" s="421"/>
      <c r="G25" s="98"/>
      <c r="H25" s="98"/>
      <c r="I25" s="98"/>
      <c r="J25" s="99"/>
    </row>
    <row r="27" spans="2:10" ht="18" customHeight="1">
      <c r="B27" s="424" t="s">
        <v>355</v>
      </c>
      <c r="C27" s="424"/>
      <c r="D27" s="424"/>
      <c r="E27" s="424"/>
      <c r="F27" s="424"/>
      <c r="G27" s="424"/>
      <c r="H27" s="424"/>
      <c r="I27" s="424"/>
      <c r="J27" s="424"/>
    </row>
    <row r="28" spans="2:17" ht="18.75" hidden="1">
      <c r="B28" s="425"/>
      <c r="C28" s="425"/>
      <c r="D28" s="425"/>
      <c r="E28" s="425"/>
      <c r="F28" s="425"/>
      <c r="G28" s="425"/>
      <c r="H28" s="425"/>
      <c r="I28" s="425"/>
      <c r="J28" s="425"/>
      <c r="K28" s="19"/>
      <c r="L28" s="19"/>
      <c r="M28" s="19"/>
      <c r="N28" s="19"/>
      <c r="O28" s="19"/>
      <c r="P28" s="19"/>
      <c r="Q28" s="19"/>
    </row>
    <row r="29" spans="2:10" ht="18.75">
      <c r="B29" s="18"/>
      <c r="C29" s="20"/>
      <c r="D29" s="18"/>
      <c r="E29" s="18"/>
      <c r="F29" s="104"/>
      <c r="G29" s="104"/>
      <c r="H29" s="104"/>
      <c r="I29" s="104"/>
      <c r="J29" s="104" t="s">
        <v>99</v>
      </c>
    </row>
    <row r="30" spans="2:17" ht="18.75" customHeight="1">
      <c r="B30" s="431" t="s">
        <v>100</v>
      </c>
      <c r="C30" s="432" t="s">
        <v>101</v>
      </c>
      <c r="D30" s="418" t="s">
        <v>102</v>
      </c>
      <c r="E30" s="418" t="s">
        <v>103</v>
      </c>
      <c r="F30" s="419" t="s">
        <v>104</v>
      </c>
      <c r="G30" s="420" t="s">
        <v>105</v>
      </c>
      <c r="H30" s="420"/>
      <c r="I30" s="420"/>
      <c r="J30" s="420"/>
      <c r="K30" s="20"/>
      <c r="L30" s="18"/>
      <c r="M30" s="20"/>
      <c r="N30" s="20"/>
      <c r="O30" s="20"/>
      <c r="P30" s="20"/>
      <c r="Q30" s="20"/>
    </row>
    <row r="31" spans="2:17" ht="25.5" customHeight="1">
      <c r="B31" s="431"/>
      <c r="C31" s="432"/>
      <c r="D31" s="418"/>
      <c r="E31" s="418"/>
      <c r="F31" s="419"/>
      <c r="G31" s="105" t="s">
        <v>106</v>
      </c>
      <c r="H31" s="105" t="s">
        <v>107</v>
      </c>
      <c r="I31" s="105" t="s">
        <v>108</v>
      </c>
      <c r="J31" s="105" t="s">
        <v>109</v>
      </c>
      <c r="K31" s="20"/>
      <c r="L31" s="18"/>
      <c r="M31" s="20"/>
      <c r="N31" s="20"/>
      <c r="O31" s="20"/>
      <c r="P31" s="20"/>
      <c r="Q31" s="20"/>
    </row>
    <row r="32" spans="2:17" ht="18.75">
      <c r="B32" s="14">
        <v>1</v>
      </c>
      <c r="C32" s="17">
        <v>2</v>
      </c>
      <c r="D32" s="17">
        <v>3</v>
      </c>
      <c r="E32" s="17">
        <v>4</v>
      </c>
      <c r="F32" s="131">
        <v>5</v>
      </c>
      <c r="G32" s="131">
        <v>6</v>
      </c>
      <c r="H32" s="131">
        <v>7</v>
      </c>
      <c r="I32" s="131">
        <v>8</v>
      </c>
      <c r="J32" s="131">
        <v>9</v>
      </c>
      <c r="K32" s="20"/>
      <c r="L32" s="18"/>
      <c r="M32" s="20"/>
      <c r="N32" s="20"/>
      <c r="O32" s="20"/>
      <c r="P32" s="20"/>
      <c r="Q32" s="20"/>
    </row>
    <row r="33" spans="2:17" ht="18.75">
      <c r="B33" s="426" t="s">
        <v>110</v>
      </c>
      <c r="C33" s="426"/>
      <c r="D33" s="426"/>
      <c r="E33" s="426"/>
      <c r="F33" s="426"/>
      <c r="G33" s="426"/>
      <c r="H33" s="426"/>
      <c r="I33" s="426"/>
      <c r="J33" s="427"/>
      <c r="K33" s="20"/>
      <c r="L33" s="18"/>
      <c r="M33" s="20"/>
      <c r="N33" s="20"/>
      <c r="O33" s="20"/>
      <c r="P33" s="20"/>
      <c r="Q33" s="20"/>
    </row>
    <row r="34" spans="2:17" s="22" customFormat="1" ht="18.75">
      <c r="B34" s="428" t="s">
        <v>111</v>
      </c>
      <c r="C34" s="428"/>
      <c r="D34" s="428"/>
      <c r="E34" s="428"/>
      <c r="F34" s="428"/>
      <c r="G34" s="428"/>
      <c r="H34" s="428"/>
      <c r="I34" s="428"/>
      <c r="J34" s="428"/>
      <c r="K34" s="63"/>
      <c r="L34" s="63"/>
      <c r="M34" s="63"/>
      <c r="N34" s="63"/>
      <c r="O34" s="63"/>
      <c r="P34" s="63"/>
      <c r="Q34" s="63"/>
    </row>
    <row r="35" spans="1:18" s="22" customFormat="1" ht="36.75" customHeight="1">
      <c r="A35" s="22">
        <v>1</v>
      </c>
      <c r="B35" s="23" t="s">
        <v>112</v>
      </c>
      <c r="C35" s="24">
        <v>100</v>
      </c>
      <c r="D35" s="25"/>
      <c r="E35" s="25"/>
      <c r="F35" s="106">
        <f aca="true" t="shared" si="0" ref="F35:F44">SUM(G35:J35)</f>
        <v>33670.88781</v>
      </c>
      <c r="G35" s="107">
        <f>-(G41+G60+G84+G86+G94)-G37</f>
        <v>8427.83899</v>
      </c>
      <c r="H35" s="107">
        <f>-(H41+H60+H84+H86+H94)-H37</f>
        <v>8406.951180000002</v>
      </c>
      <c r="I35" s="107">
        <f>-(I41+I60+I84+I86+I94)-I37</f>
        <v>8418.04882</v>
      </c>
      <c r="J35" s="107">
        <f>-(J41+J60+J75+J84+J86+J94)-J37</f>
        <v>8418.04882</v>
      </c>
      <c r="K35" s="44"/>
      <c r="L35" s="79"/>
      <c r="M35" s="44"/>
      <c r="N35" s="44"/>
      <c r="O35" s="44"/>
      <c r="P35" s="44"/>
      <c r="Q35" s="44"/>
      <c r="R35" s="65">
        <v>1196</v>
      </c>
    </row>
    <row r="36" spans="1:17" s="22" customFormat="1" ht="60" customHeight="1">
      <c r="A36" s="22">
        <v>2</v>
      </c>
      <c r="B36" s="23" t="s">
        <v>354</v>
      </c>
      <c r="C36" s="24">
        <v>110</v>
      </c>
      <c r="D36" s="25"/>
      <c r="E36" s="25"/>
      <c r="F36" s="106">
        <f t="shared" si="0"/>
        <v>187.494</v>
      </c>
      <c r="G36" s="107">
        <f>G94</f>
        <v>175.494</v>
      </c>
      <c r="H36" s="107">
        <f>H94</f>
        <v>4</v>
      </c>
      <c r="I36" s="107">
        <f>I94</f>
        <v>4</v>
      </c>
      <c r="J36" s="107">
        <f>J94</f>
        <v>4</v>
      </c>
      <c r="K36" s="44"/>
      <c r="L36" s="79"/>
      <c r="M36" s="44"/>
      <c r="N36" s="44"/>
      <c r="O36" s="44"/>
      <c r="P36" s="44"/>
      <c r="Q36" s="44"/>
    </row>
    <row r="37" spans="1:17" s="22" customFormat="1" ht="37.5">
      <c r="A37" s="22">
        <v>3</v>
      </c>
      <c r="B37" s="23" t="s">
        <v>113</v>
      </c>
      <c r="C37" s="24">
        <v>120</v>
      </c>
      <c r="D37" s="25"/>
      <c r="E37" s="25"/>
      <c r="F37" s="106">
        <f t="shared" si="0"/>
        <v>2300</v>
      </c>
      <c r="G37" s="107">
        <f>G38+G39+G40</f>
        <v>550</v>
      </c>
      <c r="H37" s="107">
        <f>H38+H39+H40</f>
        <v>492</v>
      </c>
      <c r="I37" s="107">
        <f>I38+I39+I40</f>
        <v>554</v>
      </c>
      <c r="J37" s="107">
        <f>J38+J39+J40</f>
        <v>704</v>
      </c>
      <c r="K37" s="44"/>
      <c r="L37" s="79"/>
      <c r="M37" s="44"/>
      <c r="N37" s="44"/>
      <c r="O37" s="44"/>
      <c r="P37" s="44"/>
      <c r="Q37" s="44"/>
    </row>
    <row r="38" spans="1:17" s="22" customFormat="1" ht="56.25">
      <c r="A38" s="22">
        <v>4</v>
      </c>
      <c r="B38" s="26" t="s">
        <v>114</v>
      </c>
      <c r="C38" s="27">
        <v>121</v>
      </c>
      <c r="D38" s="25"/>
      <c r="E38" s="25"/>
      <c r="F38" s="106">
        <f t="shared" si="0"/>
        <v>0</v>
      </c>
      <c r="G38" s="107"/>
      <c r="H38" s="107"/>
      <c r="I38" s="107"/>
      <c r="J38" s="107"/>
      <c r="K38" s="44"/>
      <c r="L38" s="79"/>
      <c r="M38" s="44"/>
      <c r="N38" s="44"/>
      <c r="O38" s="44"/>
      <c r="P38" s="44"/>
      <c r="Q38" s="44"/>
    </row>
    <row r="39" spans="1:17" s="22" customFormat="1" ht="37.5">
      <c r="A39" s="22">
        <v>5</v>
      </c>
      <c r="B39" s="26" t="s">
        <v>115</v>
      </c>
      <c r="C39" s="27">
        <v>122</v>
      </c>
      <c r="D39" s="25"/>
      <c r="E39" s="25"/>
      <c r="F39" s="106">
        <f t="shared" si="0"/>
        <v>0</v>
      </c>
      <c r="G39" s="107"/>
      <c r="H39" s="107"/>
      <c r="I39" s="107">
        <v>0</v>
      </c>
      <c r="J39" s="107">
        <v>0</v>
      </c>
      <c r="K39" s="44"/>
      <c r="L39" s="79"/>
      <c r="M39" s="44"/>
      <c r="N39" s="44"/>
      <c r="O39" s="44"/>
      <c r="P39" s="44"/>
      <c r="Q39" s="44"/>
    </row>
    <row r="40" spans="1:17" s="22" customFormat="1" ht="60.75" customHeight="1">
      <c r="A40" s="22">
        <v>6</v>
      </c>
      <c r="B40" s="26" t="s">
        <v>388</v>
      </c>
      <c r="C40" s="27">
        <v>123</v>
      </c>
      <c r="D40" s="25"/>
      <c r="E40" s="25"/>
      <c r="F40" s="106">
        <f t="shared" si="0"/>
        <v>2300</v>
      </c>
      <c r="G40" s="181">
        <f>(450000+100000)/1000</f>
        <v>550</v>
      </c>
      <c r="H40" s="181">
        <f>492000/1000</f>
        <v>492</v>
      </c>
      <c r="I40" s="181">
        <f>(354000+200000)/1000</f>
        <v>554</v>
      </c>
      <c r="J40" s="181">
        <f>704000/1000</f>
        <v>704</v>
      </c>
      <c r="K40" s="44"/>
      <c r="L40" s="81">
        <f>M40+N40+O40+P40</f>
        <v>2300000</v>
      </c>
      <c r="M40" s="184">
        <f>130000+160000+160000+100000</f>
        <v>550000</v>
      </c>
      <c r="N40" s="184">
        <f>256000+118000+118000</f>
        <v>492000</v>
      </c>
      <c r="O40" s="184">
        <f>118000*3+200000</f>
        <v>554000</v>
      </c>
      <c r="P40" s="184">
        <f>218000+268000+218000</f>
        <v>704000</v>
      </c>
      <c r="Q40" s="44"/>
    </row>
    <row r="41" spans="1:25" ht="24" customHeight="1">
      <c r="A41" s="22">
        <v>7</v>
      </c>
      <c r="B41" s="23" t="s">
        <v>116</v>
      </c>
      <c r="C41" s="24">
        <v>130</v>
      </c>
      <c r="D41" s="28">
        <f>SUM(D42:D59)</f>
        <v>0</v>
      </c>
      <c r="E41" s="28">
        <f>SUM(E42:E59)</f>
        <v>0</v>
      </c>
      <c r="F41" s="108">
        <f t="shared" si="0"/>
        <v>-30742.981810000005</v>
      </c>
      <c r="G41" s="106">
        <f>G42+G45+G46+G51+SUM(G52:G59)</f>
        <v>-7654.84518</v>
      </c>
      <c r="H41" s="106">
        <f>H42+H45+H46+H51+SUM(H52:H59)</f>
        <v>-7646.551180000001</v>
      </c>
      <c r="I41" s="106">
        <f>I42+I45+I46+I51+SUM(I52:I59)</f>
        <v>-7612.9488200000005</v>
      </c>
      <c r="J41" s="106">
        <f>J42+J45+J46+J51+SUM(J52:J59)</f>
        <v>-7828.636630000001</v>
      </c>
      <c r="K41" s="44"/>
      <c r="L41" s="79"/>
      <c r="M41" s="124" t="s">
        <v>314</v>
      </c>
      <c r="N41" s="44"/>
      <c r="O41" s="44"/>
      <c r="P41" s="44"/>
      <c r="Q41" s="44"/>
      <c r="S41" s="122">
        <f>S42+S45+S46+S51+S52+S53+S54+S55+S56+S57+S58+S59</f>
        <v>7654845.180000001</v>
      </c>
      <c r="T41" s="122">
        <f>T42+T45+T46+T51+T52+T53+T54+T55+T56+T57+T58+T59</f>
        <v>7646551.180000002</v>
      </c>
      <c r="U41" s="122">
        <f>U42+U45+U46+U51+U52+U53+U54+U55+U56+U57+U58+U59</f>
        <v>7612948.820000001</v>
      </c>
      <c r="V41" s="122">
        <f>V42+V45+V46+V51+V52+V53+V54+V55+V56+V57+V58+V59</f>
        <v>7828636.630000001</v>
      </c>
      <c r="Y41" s="130">
        <f aca="true" t="shared" si="1" ref="Y41:Y82">F41*-1000</f>
        <v>30742981.810000006</v>
      </c>
    </row>
    <row r="42" spans="1:25" s="30" customFormat="1" ht="18.75">
      <c r="A42" s="22">
        <v>8</v>
      </c>
      <c r="B42" s="23" t="s">
        <v>117</v>
      </c>
      <c r="C42" s="17">
        <v>140</v>
      </c>
      <c r="D42" s="29"/>
      <c r="E42" s="29"/>
      <c r="F42" s="108">
        <f t="shared" si="0"/>
        <v>-1368</v>
      </c>
      <c r="G42" s="109">
        <f>SUM(G43:G44)</f>
        <v>-204</v>
      </c>
      <c r="H42" s="109">
        <f>SUM(H43:H44)</f>
        <v>-392</v>
      </c>
      <c r="I42" s="109">
        <f>SUM(I43:I44)</f>
        <v>-372</v>
      </c>
      <c r="J42" s="109">
        <f>SUM(J43:J44)</f>
        <v>-400</v>
      </c>
      <c r="K42" s="44"/>
      <c r="L42" s="79"/>
      <c r="M42" s="124" t="s">
        <v>315</v>
      </c>
      <c r="N42" s="44"/>
      <c r="O42" s="44"/>
      <c r="P42" s="44"/>
      <c r="Q42" s="44"/>
      <c r="S42" s="123">
        <f>S43+S44</f>
        <v>204000</v>
      </c>
      <c r="T42" s="123">
        <f>T43+T44</f>
        <v>392000</v>
      </c>
      <c r="U42" s="123">
        <f>U43+U44</f>
        <v>372000</v>
      </c>
      <c r="V42" s="123">
        <f>V43+V44</f>
        <v>400000</v>
      </c>
      <c r="Y42" s="130">
        <f t="shared" si="1"/>
        <v>1368000</v>
      </c>
    </row>
    <row r="43" spans="1:25" s="30" customFormat="1" ht="18.75">
      <c r="A43" s="22">
        <v>9</v>
      </c>
      <c r="B43" s="26" t="s">
        <v>118</v>
      </c>
      <c r="C43" s="31">
        <v>141</v>
      </c>
      <c r="D43" s="25"/>
      <c r="E43" s="25"/>
      <c r="F43" s="106">
        <f t="shared" si="0"/>
        <v>-988</v>
      </c>
      <c r="G43" s="181">
        <f>-M43/1000</f>
        <v>-97</v>
      </c>
      <c r="H43" s="181">
        <f>-N43/1000</f>
        <v>-300</v>
      </c>
      <c r="I43" s="181">
        <f>-O43/1000</f>
        <v>-280</v>
      </c>
      <c r="J43" s="181">
        <f>-P43/1000</f>
        <v>-311</v>
      </c>
      <c r="K43" s="82"/>
      <c r="L43" s="81">
        <f>M43+N43+O43+P43</f>
        <v>988000</v>
      </c>
      <c r="M43" s="184">
        <v>97000</v>
      </c>
      <c r="N43" s="184">
        <f>100000+40000+60000+100000</f>
        <v>300000</v>
      </c>
      <c r="O43" s="184">
        <f>63000+60000+60000+97000</f>
        <v>280000</v>
      </c>
      <c r="P43" s="184">
        <f>89100+93510+34390+94000</f>
        <v>311000</v>
      </c>
      <c r="Q43" s="44"/>
      <c r="S43" s="54">
        <f aca="true" t="shared" si="2" ref="S43:V45">M43</f>
        <v>97000</v>
      </c>
      <c r="T43" s="54">
        <f t="shared" si="2"/>
        <v>300000</v>
      </c>
      <c r="U43" s="54">
        <f t="shared" si="2"/>
        <v>280000</v>
      </c>
      <c r="V43" s="54">
        <f t="shared" si="2"/>
        <v>311000</v>
      </c>
      <c r="Y43" s="130">
        <f t="shared" si="1"/>
        <v>988000</v>
      </c>
    </row>
    <row r="44" spans="1:25" s="30" customFormat="1" ht="40.5" customHeight="1">
      <c r="A44" s="22">
        <v>10</v>
      </c>
      <c r="B44" s="26" t="s">
        <v>119</v>
      </c>
      <c r="C44" s="31">
        <v>142</v>
      </c>
      <c r="D44" s="25"/>
      <c r="E44" s="25"/>
      <c r="F44" s="106">
        <f t="shared" si="0"/>
        <v>-380</v>
      </c>
      <c r="G44" s="181">
        <f>-107000/1000</f>
        <v>-107</v>
      </c>
      <c r="H44" s="181">
        <f>-92000/1000</f>
        <v>-92</v>
      </c>
      <c r="I44" s="181">
        <f>-92000/1000</f>
        <v>-92</v>
      </c>
      <c r="J44" s="181">
        <f>-89000/1000</f>
        <v>-89</v>
      </c>
      <c r="K44" s="82"/>
      <c r="L44" s="81">
        <f>M44+N44+O44+P44</f>
        <v>380000</v>
      </c>
      <c r="M44" s="184">
        <f>130000-M61</f>
        <v>107000</v>
      </c>
      <c r="N44" s="184">
        <f>115000-N61</f>
        <v>92000</v>
      </c>
      <c r="O44" s="184">
        <f>115000-O61</f>
        <v>92000</v>
      </c>
      <c r="P44" s="184">
        <f>115000-P61</f>
        <v>89000</v>
      </c>
      <c r="Q44" s="44"/>
      <c r="S44" s="54">
        <f t="shared" si="2"/>
        <v>107000</v>
      </c>
      <c r="T44" s="54">
        <f t="shared" si="2"/>
        <v>92000</v>
      </c>
      <c r="U44" s="54">
        <f t="shared" si="2"/>
        <v>92000</v>
      </c>
      <c r="V44" s="54">
        <f t="shared" si="2"/>
        <v>89000</v>
      </c>
      <c r="Y44" s="130">
        <f t="shared" si="1"/>
        <v>380000</v>
      </c>
    </row>
    <row r="45" spans="1:25" s="30" customFormat="1" ht="18.75">
      <c r="A45" s="22">
        <v>11</v>
      </c>
      <c r="B45" s="23" t="s">
        <v>120</v>
      </c>
      <c r="C45" s="17">
        <v>150</v>
      </c>
      <c r="D45" s="25"/>
      <c r="E45" s="25"/>
      <c r="F45" s="106">
        <f aca="true" t="shared" si="3" ref="F45:F75">SUM(G45:J45)</f>
        <v>-320</v>
      </c>
      <c r="G45" s="181">
        <f>-49000/1000</f>
        <v>-49</v>
      </c>
      <c r="H45" s="181">
        <f>-90000/1000</f>
        <v>-90</v>
      </c>
      <c r="I45" s="181">
        <f>-91000/1000</f>
        <v>-91</v>
      </c>
      <c r="J45" s="181">
        <f>-90000/1000</f>
        <v>-90</v>
      </c>
      <c r="K45" s="82"/>
      <c r="L45" s="81">
        <f>M45+N45+O45+P45</f>
        <v>320000</v>
      </c>
      <c r="M45" s="184">
        <f>60000-M68</f>
        <v>49000</v>
      </c>
      <c r="N45" s="184">
        <f>100000-N68</f>
        <v>90000</v>
      </c>
      <c r="O45" s="184">
        <f>100000-O68</f>
        <v>91000</v>
      </c>
      <c r="P45" s="184">
        <f>100000-P68</f>
        <v>90000</v>
      </c>
      <c r="Q45" s="44"/>
      <c r="S45" s="54">
        <f t="shared" si="2"/>
        <v>49000</v>
      </c>
      <c r="T45" s="54">
        <f t="shared" si="2"/>
        <v>90000</v>
      </c>
      <c r="U45" s="54">
        <f t="shared" si="2"/>
        <v>91000</v>
      </c>
      <c r="V45" s="54">
        <f t="shared" si="2"/>
        <v>90000</v>
      </c>
      <c r="Y45" s="130">
        <f t="shared" si="1"/>
        <v>320000</v>
      </c>
    </row>
    <row r="46" spans="1:25" s="30" customFormat="1" ht="18.75">
      <c r="A46" s="22">
        <v>12</v>
      </c>
      <c r="B46" s="23" t="s">
        <v>121</v>
      </c>
      <c r="C46" s="17">
        <v>160</v>
      </c>
      <c r="D46" s="29"/>
      <c r="E46" s="29"/>
      <c r="F46" s="110">
        <f>SUM(G46:J46)</f>
        <v>-546.5</v>
      </c>
      <c r="G46" s="109">
        <f>SUM(G47:G50)</f>
        <v>-269.15999999999997</v>
      </c>
      <c r="H46" s="109">
        <f>SUM(H47:H50)</f>
        <v>-99.375</v>
      </c>
      <c r="I46" s="109">
        <f>SUM(I47:I50)</f>
        <v>-10.525</v>
      </c>
      <c r="J46" s="109">
        <f>SUM(J47:J50)</f>
        <v>-167.44</v>
      </c>
      <c r="K46" s="44"/>
      <c r="L46" s="79"/>
      <c r="M46" s="124" t="s">
        <v>316</v>
      </c>
      <c r="N46" s="44"/>
      <c r="O46" s="44"/>
      <c r="P46" s="44"/>
      <c r="Q46" s="44"/>
      <c r="S46" s="123">
        <f>S47+S48+S49+S50</f>
        <v>269160</v>
      </c>
      <c r="T46" s="123">
        <f>T47+T48+T49+T50</f>
        <v>99375</v>
      </c>
      <c r="U46" s="123">
        <f>U47+U48+U49+U50</f>
        <v>10525</v>
      </c>
      <c r="V46" s="123">
        <f>V47+V48+V49+V50</f>
        <v>167440</v>
      </c>
      <c r="Y46" s="130">
        <f t="shared" si="1"/>
        <v>546500</v>
      </c>
    </row>
    <row r="47" spans="1:25" s="30" customFormat="1" ht="18.75">
      <c r="A47" s="22">
        <v>13</v>
      </c>
      <c r="B47" s="26" t="s">
        <v>122</v>
      </c>
      <c r="C47" s="31">
        <v>161</v>
      </c>
      <c r="D47" s="25"/>
      <c r="E47" s="25"/>
      <c r="F47" s="106">
        <f t="shared" si="3"/>
        <v>-302.78000000000003</v>
      </c>
      <c r="G47" s="181">
        <f>-170520/1000</f>
        <v>-170.52</v>
      </c>
      <c r="H47" s="181">
        <f>-65400/1000</f>
        <v>-65.4</v>
      </c>
      <c r="I47" s="181">
        <f>-6000/1000</f>
        <v>-6</v>
      </c>
      <c r="J47" s="181">
        <f>-60860/1000</f>
        <v>-60.86</v>
      </c>
      <c r="K47" s="82"/>
      <c r="L47" s="81">
        <f aca="true" t="shared" si="4" ref="L47:L55">M47+N47+O47+P47</f>
        <v>302780</v>
      </c>
      <c r="M47" s="184">
        <f>(100720+80000+75000)-M66</f>
        <v>170520</v>
      </c>
      <c r="N47" s="184">
        <f>(80000+15000+3000)-N66</f>
        <v>65400</v>
      </c>
      <c r="O47" s="184">
        <f>(3000*3)-O66</f>
        <v>6000</v>
      </c>
      <c r="P47" s="184">
        <f>(20000+30000+40060)-P66</f>
        <v>60860</v>
      </c>
      <c r="Q47" s="44"/>
      <c r="S47" s="54">
        <f>M47</f>
        <v>170520</v>
      </c>
      <c r="T47" s="54">
        <f>N47</f>
        <v>65400</v>
      </c>
      <c r="U47" s="54">
        <f>O47</f>
        <v>6000</v>
      </c>
      <c r="V47" s="54">
        <f>P47</f>
        <v>60860</v>
      </c>
      <c r="Y47" s="130">
        <f t="shared" si="1"/>
        <v>302780.00000000006</v>
      </c>
    </row>
    <row r="48" spans="1:25" s="30" customFormat="1" ht="18.75">
      <c r="A48" s="22">
        <v>14</v>
      </c>
      <c r="B48" s="26" t="s">
        <v>123</v>
      </c>
      <c r="C48" s="31">
        <v>162</v>
      </c>
      <c r="D48" s="25"/>
      <c r="E48" s="25"/>
      <c r="F48" s="106">
        <f t="shared" si="3"/>
        <v>-18.328</v>
      </c>
      <c r="G48" s="181">
        <f>-4630/1000</f>
        <v>-4.63</v>
      </c>
      <c r="H48" s="181">
        <f>-4575/1000</f>
        <v>-4.575</v>
      </c>
      <c r="I48" s="181">
        <f>-4525/1000</f>
        <v>-4.525</v>
      </c>
      <c r="J48" s="181">
        <f>-4598/1000</f>
        <v>-4.598</v>
      </c>
      <c r="K48" s="82"/>
      <c r="L48" s="81">
        <f t="shared" si="4"/>
        <v>18328</v>
      </c>
      <c r="M48" s="184">
        <f>(1930+1800+1800)-M67</f>
        <v>4630</v>
      </c>
      <c r="N48" s="184">
        <f>(1650+1900+1825)-N67</f>
        <v>4575</v>
      </c>
      <c r="O48" s="184">
        <f>(1800+1825+1800)-O67</f>
        <v>4525</v>
      </c>
      <c r="P48" s="184">
        <f>(1800+1930+1768)-P67</f>
        <v>4598</v>
      </c>
      <c r="Q48" s="44"/>
      <c r="S48" s="54">
        <f aca="true" t="shared" si="5" ref="S48:V59">M48</f>
        <v>4630</v>
      </c>
      <c r="T48" s="54">
        <f t="shared" si="5"/>
        <v>4575</v>
      </c>
      <c r="U48" s="54">
        <f t="shared" si="5"/>
        <v>4525</v>
      </c>
      <c r="V48" s="54">
        <f t="shared" si="5"/>
        <v>4598</v>
      </c>
      <c r="Y48" s="130">
        <f t="shared" si="1"/>
        <v>18328</v>
      </c>
    </row>
    <row r="49" spans="1:25" s="30" customFormat="1" ht="18.75">
      <c r="A49" s="22">
        <v>15</v>
      </c>
      <c r="B49" s="26" t="s">
        <v>124</v>
      </c>
      <c r="C49" s="31">
        <v>163</v>
      </c>
      <c r="D49" s="25"/>
      <c r="E49" s="25"/>
      <c r="F49" s="106">
        <f t="shared" si="3"/>
        <v>-29.5</v>
      </c>
      <c r="G49" s="181">
        <f>-13200/1000</f>
        <v>-13.2</v>
      </c>
      <c r="H49" s="181">
        <v>0</v>
      </c>
      <c r="I49" s="181">
        <v>0</v>
      </c>
      <c r="J49" s="181">
        <f>-16300/1000</f>
        <v>-16.3</v>
      </c>
      <c r="K49" s="82"/>
      <c r="L49" s="81">
        <f t="shared" si="4"/>
        <v>29500</v>
      </c>
      <c r="M49" s="184">
        <f>0+9000+4200</f>
        <v>13200</v>
      </c>
      <c r="N49" s="184">
        <v>0</v>
      </c>
      <c r="O49" s="184">
        <v>0</v>
      </c>
      <c r="P49" s="184">
        <f>2200+6200+7900</f>
        <v>16300</v>
      </c>
      <c r="Q49" s="44"/>
      <c r="S49" s="54">
        <f t="shared" si="5"/>
        <v>13200</v>
      </c>
      <c r="T49" s="54">
        <f t="shared" si="5"/>
        <v>0</v>
      </c>
      <c r="U49" s="54">
        <f t="shared" si="5"/>
        <v>0</v>
      </c>
      <c r="V49" s="54">
        <f t="shared" si="5"/>
        <v>16300</v>
      </c>
      <c r="Y49" s="130">
        <f t="shared" si="1"/>
        <v>29500</v>
      </c>
    </row>
    <row r="50" spans="1:25" s="30" customFormat="1" ht="18.75">
      <c r="A50" s="22">
        <v>16</v>
      </c>
      <c r="B50" s="26" t="s">
        <v>125</v>
      </c>
      <c r="C50" s="31">
        <v>164</v>
      </c>
      <c r="D50" s="25"/>
      <c r="E50" s="25"/>
      <c r="F50" s="106">
        <f>SUM(G50:J50)</f>
        <v>-195.892</v>
      </c>
      <c r="G50" s="181">
        <f>-80810/1000</f>
        <v>-80.81</v>
      </c>
      <c r="H50" s="181">
        <f>-29400/1000</f>
        <v>-29.4</v>
      </c>
      <c r="I50" s="181">
        <v>0</v>
      </c>
      <c r="J50" s="181">
        <f>-85682/1000</f>
        <v>-85.682</v>
      </c>
      <c r="K50" s="82"/>
      <c r="L50" s="81">
        <f t="shared" si="4"/>
        <v>195892</v>
      </c>
      <c r="M50" s="184">
        <f>7350+36730+36730</f>
        <v>80810</v>
      </c>
      <c r="N50" s="184">
        <f>29400</f>
        <v>29400</v>
      </c>
      <c r="O50" s="184">
        <v>0</v>
      </c>
      <c r="P50" s="184">
        <f>4900+41630+39152</f>
        <v>85682</v>
      </c>
      <c r="Q50" s="44"/>
      <c r="S50" s="54">
        <f t="shared" si="5"/>
        <v>80810</v>
      </c>
      <c r="T50" s="54">
        <f t="shared" si="5"/>
        <v>29400</v>
      </c>
      <c r="U50" s="54">
        <f t="shared" si="5"/>
        <v>0</v>
      </c>
      <c r="V50" s="54">
        <f t="shared" si="5"/>
        <v>85682</v>
      </c>
      <c r="Y50" s="130">
        <f t="shared" si="1"/>
        <v>195892</v>
      </c>
    </row>
    <row r="51" spans="1:25" s="30" customFormat="1" ht="37.5">
      <c r="A51" s="22">
        <v>17</v>
      </c>
      <c r="B51" s="23" t="s">
        <v>126</v>
      </c>
      <c r="C51" s="17">
        <v>170</v>
      </c>
      <c r="D51" s="25"/>
      <c r="E51" s="25"/>
      <c r="F51" s="106">
        <f t="shared" si="3"/>
        <v>-645</v>
      </c>
      <c r="G51" s="181">
        <f>-M51/1000</f>
        <v>-147.5</v>
      </c>
      <c r="H51" s="181">
        <f>-N51/1000</f>
        <v>-152.5</v>
      </c>
      <c r="I51" s="181">
        <f>-O51/1000</f>
        <v>-197.5</v>
      </c>
      <c r="J51" s="181">
        <f>-P51/1000</f>
        <v>-147.5</v>
      </c>
      <c r="K51" s="82"/>
      <c r="L51" s="81">
        <f t="shared" si="4"/>
        <v>645000</v>
      </c>
      <c r="M51" s="184">
        <f>192500-M62</f>
        <v>147500</v>
      </c>
      <c r="N51" s="184">
        <f>192500-N62</f>
        <v>152500</v>
      </c>
      <c r="O51" s="184">
        <f>192500+45000-O62</f>
        <v>197500</v>
      </c>
      <c r="P51" s="184">
        <f>192500-P62</f>
        <v>147500</v>
      </c>
      <c r="Q51" s="44"/>
      <c r="S51" s="54">
        <f t="shared" si="5"/>
        <v>147500</v>
      </c>
      <c r="T51" s="54">
        <f t="shared" si="5"/>
        <v>152500</v>
      </c>
      <c r="U51" s="54">
        <f t="shared" si="5"/>
        <v>197500</v>
      </c>
      <c r="V51" s="54">
        <f t="shared" si="5"/>
        <v>147500</v>
      </c>
      <c r="Y51" s="130">
        <f t="shared" si="1"/>
        <v>645000</v>
      </c>
    </row>
    <row r="52" spans="1:25" s="30" customFormat="1" ht="18.75">
      <c r="A52" s="22">
        <v>18</v>
      </c>
      <c r="B52" s="23" t="s">
        <v>127</v>
      </c>
      <c r="C52" s="17">
        <v>180</v>
      </c>
      <c r="D52" s="25"/>
      <c r="E52" s="25"/>
      <c r="F52" s="106">
        <f>SUM(G52:J52)</f>
        <v>-22113.666680000002</v>
      </c>
      <c r="G52" s="107">
        <f aca="true" t="shared" si="6" ref="G52:J53">-M52/1000</f>
        <v>-5643.479590000001</v>
      </c>
      <c r="H52" s="107">
        <f t="shared" si="6"/>
        <v>-5518.821990000001</v>
      </c>
      <c r="I52" s="107">
        <f t="shared" si="6"/>
        <v>-5475.318700000001</v>
      </c>
      <c r="J52" s="107">
        <f t="shared" si="6"/>
        <v>-5476.0464</v>
      </c>
      <c r="K52" s="82"/>
      <c r="L52" s="87">
        <f t="shared" si="4"/>
        <v>22113666.680000003</v>
      </c>
      <c r="M52" s="94">
        <f>1650000*3+283658.5+368852.48+40983.61-15</f>
        <v>5643479.590000001</v>
      </c>
      <c r="N52" s="94">
        <f>1650000*3+73730.48+81967.21+368852+3278.69+40983.61+10</f>
        <v>5518821.990000001</v>
      </c>
      <c r="O52" s="94">
        <f>1650000*3+95941.66+372131.15+3278.69+54508.2-541</f>
        <v>5475318.700000001</v>
      </c>
      <c r="P52" s="94">
        <f>1650000*3+55685.76+413114.75+3278.69+54508.2-541</f>
        <v>5476046.4</v>
      </c>
      <c r="Q52" s="44"/>
      <c r="S52" s="54">
        <f t="shared" si="5"/>
        <v>5643479.590000001</v>
      </c>
      <c r="T52" s="54">
        <f t="shared" si="5"/>
        <v>5518821.990000001</v>
      </c>
      <c r="U52" s="54">
        <f t="shared" si="5"/>
        <v>5475318.700000001</v>
      </c>
      <c r="V52" s="54">
        <f t="shared" si="5"/>
        <v>5476046.4</v>
      </c>
      <c r="Y52" s="130">
        <f t="shared" si="1"/>
        <v>22113666.680000003</v>
      </c>
    </row>
    <row r="53" spans="1:25" s="30" customFormat="1" ht="18.75">
      <c r="A53" s="22">
        <v>19</v>
      </c>
      <c r="B53" s="23" t="s">
        <v>128</v>
      </c>
      <c r="C53" s="17">
        <v>190</v>
      </c>
      <c r="D53" s="25"/>
      <c r="E53" s="25"/>
      <c r="F53" s="106">
        <f t="shared" si="3"/>
        <v>-4826.81513</v>
      </c>
      <c r="G53" s="107">
        <f t="shared" si="6"/>
        <v>-1231.96559</v>
      </c>
      <c r="H53" s="107">
        <f t="shared" si="6"/>
        <v>-1204.6291899999999</v>
      </c>
      <c r="I53" s="107">
        <f t="shared" si="6"/>
        <v>-1195.0301200000001</v>
      </c>
      <c r="J53" s="107">
        <f t="shared" si="6"/>
        <v>-1195.1902300000002</v>
      </c>
      <c r="K53" s="82"/>
      <c r="L53" s="87">
        <f t="shared" si="4"/>
        <v>4826815.130000001</v>
      </c>
      <c r="M53" s="94">
        <f>360000*3+62404.87+81148.33+9016.39-604</f>
        <v>1231965.59</v>
      </c>
      <c r="N53" s="94">
        <f>360000*3+16220.7+18032.79+81148+721.31+9016.39-510</f>
        <v>1204629.19</v>
      </c>
      <c r="O53" s="94">
        <f>360000*3+21107.16+81868.85+721.31+11991.8-659</f>
        <v>1195030.12</v>
      </c>
      <c r="P53" s="94">
        <f>360000*3+12250.87+90885.25+721.31+11991.8-659</f>
        <v>1195190.2300000002</v>
      </c>
      <c r="Q53" s="44"/>
      <c r="S53" s="54">
        <f t="shared" si="5"/>
        <v>1231965.59</v>
      </c>
      <c r="T53" s="54">
        <f t="shared" si="5"/>
        <v>1204629.19</v>
      </c>
      <c r="U53" s="54">
        <f t="shared" si="5"/>
        <v>1195030.12</v>
      </c>
      <c r="V53" s="54">
        <f t="shared" si="5"/>
        <v>1195190.2300000002</v>
      </c>
      <c r="Y53" s="130">
        <f t="shared" si="1"/>
        <v>4826815.13</v>
      </c>
    </row>
    <row r="54" spans="1:25" s="30" customFormat="1" ht="18.75">
      <c r="A54" s="22">
        <v>20</v>
      </c>
      <c r="B54" s="23" t="s">
        <v>129</v>
      </c>
      <c r="C54" s="17">
        <v>200</v>
      </c>
      <c r="D54" s="25"/>
      <c r="E54" s="25"/>
      <c r="F54" s="106">
        <f t="shared" si="3"/>
        <v>-48</v>
      </c>
      <c r="G54" s="181">
        <v>-15</v>
      </c>
      <c r="H54" s="181">
        <f>-15000/1000</f>
        <v>-15</v>
      </c>
      <c r="I54" s="181">
        <f>-10000/1000</f>
        <v>-10</v>
      </c>
      <c r="J54" s="181">
        <f>-8000/1000</f>
        <v>-8</v>
      </c>
      <c r="K54" s="82"/>
      <c r="L54" s="81">
        <f t="shared" si="4"/>
        <v>48000</v>
      </c>
      <c r="M54" s="184">
        <v>15000</v>
      </c>
      <c r="N54" s="184">
        <v>15000</v>
      </c>
      <c r="O54" s="184">
        <v>10000</v>
      </c>
      <c r="P54" s="184">
        <v>8000</v>
      </c>
      <c r="Q54" s="44"/>
      <c r="S54" s="54">
        <f t="shared" si="5"/>
        <v>15000</v>
      </c>
      <c r="T54" s="54">
        <f t="shared" si="5"/>
        <v>15000</v>
      </c>
      <c r="U54" s="54">
        <f t="shared" si="5"/>
        <v>10000</v>
      </c>
      <c r="V54" s="54">
        <f t="shared" si="5"/>
        <v>8000</v>
      </c>
      <c r="Y54" s="130">
        <f t="shared" si="1"/>
        <v>48000</v>
      </c>
    </row>
    <row r="55" spans="1:25" s="30" customFormat="1" ht="18.75">
      <c r="A55" s="22">
        <v>21</v>
      </c>
      <c r="B55" s="23" t="s">
        <v>130</v>
      </c>
      <c r="C55" s="17">
        <v>210</v>
      </c>
      <c r="D55" s="25"/>
      <c r="E55" s="25"/>
      <c r="F55" s="106">
        <f t="shared" si="3"/>
        <v>-25</v>
      </c>
      <c r="G55" s="181">
        <v>0</v>
      </c>
      <c r="H55" s="181">
        <f>-15000/1000</f>
        <v>-15</v>
      </c>
      <c r="I55" s="181">
        <f>-5000/1000</f>
        <v>-5</v>
      </c>
      <c r="J55" s="181">
        <f>-5000/1000</f>
        <v>-5</v>
      </c>
      <c r="K55" s="82"/>
      <c r="L55" s="81">
        <f t="shared" si="4"/>
        <v>25000</v>
      </c>
      <c r="M55" s="184">
        <v>0</v>
      </c>
      <c r="N55" s="184">
        <v>15000</v>
      </c>
      <c r="O55" s="184">
        <v>5000</v>
      </c>
      <c r="P55" s="184">
        <v>5000</v>
      </c>
      <c r="Q55" s="44"/>
      <c r="S55" s="54">
        <f t="shared" si="5"/>
        <v>0</v>
      </c>
      <c r="T55" s="54">
        <f t="shared" si="5"/>
        <v>15000</v>
      </c>
      <c r="U55" s="54">
        <f t="shared" si="5"/>
        <v>5000</v>
      </c>
      <c r="V55" s="54">
        <f t="shared" si="5"/>
        <v>5000</v>
      </c>
      <c r="Y55" s="130">
        <f t="shared" si="1"/>
        <v>25000</v>
      </c>
    </row>
    <row r="56" spans="1:25" s="30" customFormat="1" ht="18.75">
      <c r="A56" s="22">
        <v>22</v>
      </c>
      <c r="B56" s="185" t="s">
        <v>405</v>
      </c>
      <c r="C56" s="17">
        <v>220</v>
      </c>
      <c r="D56" s="25"/>
      <c r="E56" s="25"/>
      <c r="F56" s="106">
        <f t="shared" si="3"/>
        <v>-700</v>
      </c>
      <c r="G56" s="181">
        <f>-94740/1000</f>
        <v>-94.74</v>
      </c>
      <c r="H56" s="181">
        <f>-159225/1000</f>
        <v>-159.225</v>
      </c>
      <c r="I56" s="181">
        <f>-156575/1000</f>
        <v>-156.575</v>
      </c>
      <c r="J56" s="181">
        <f>-289460/1000</f>
        <v>-289.46</v>
      </c>
      <c r="K56" s="44"/>
      <c r="L56" s="81">
        <f>M56+N56+O56+P56</f>
        <v>700000</v>
      </c>
      <c r="M56" s="184">
        <f>20000+32470+42270</f>
        <v>94740</v>
      </c>
      <c r="N56" s="184">
        <f>44950+61100+53175</f>
        <v>159225</v>
      </c>
      <c r="O56" s="184">
        <f>50200+53175+53200</f>
        <v>156575</v>
      </c>
      <c r="P56" s="184">
        <f>100000+94730+94730</f>
        <v>289460</v>
      </c>
      <c r="Q56" s="44"/>
      <c r="S56" s="54">
        <f t="shared" si="5"/>
        <v>94740</v>
      </c>
      <c r="T56" s="54">
        <f t="shared" si="5"/>
        <v>159225</v>
      </c>
      <c r="U56" s="54">
        <f t="shared" si="5"/>
        <v>156575</v>
      </c>
      <c r="V56" s="54">
        <f t="shared" si="5"/>
        <v>289460</v>
      </c>
      <c r="Y56" s="130">
        <f t="shared" si="1"/>
        <v>700000</v>
      </c>
    </row>
    <row r="57" spans="1:25" s="30" customFormat="1" ht="41.25" customHeight="1">
      <c r="A57" s="22">
        <v>23</v>
      </c>
      <c r="B57" s="23" t="s">
        <v>131</v>
      </c>
      <c r="C57" s="17">
        <v>230</v>
      </c>
      <c r="D57" s="25"/>
      <c r="E57" s="25"/>
      <c r="F57" s="106">
        <f t="shared" si="3"/>
        <v>-150</v>
      </c>
      <c r="G57" s="181">
        <v>0</v>
      </c>
      <c r="H57" s="181">
        <v>0</v>
      </c>
      <c r="I57" s="181">
        <f>-100000/1000</f>
        <v>-100</v>
      </c>
      <c r="J57" s="181">
        <f>-50000/1000</f>
        <v>-50</v>
      </c>
      <c r="K57" s="82"/>
      <c r="L57" s="81">
        <f>M57+N57+O57+P57</f>
        <v>150000</v>
      </c>
      <c r="M57" s="184">
        <v>0</v>
      </c>
      <c r="N57" s="184">
        <v>0</v>
      </c>
      <c r="O57" s="184">
        <v>100000</v>
      </c>
      <c r="P57" s="184">
        <v>50000</v>
      </c>
      <c r="Q57" s="44"/>
      <c r="S57" s="54">
        <f t="shared" si="5"/>
        <v>0</v>
      </c>
      <c r="T57" s="54">
        <f t="shared" si="5"/>
        <v>0</v>
      </c>
      <c r="U57" s="54">
        <f t="shared" si="5"/>
        <v>100000</v>
      </c>
      <c r="V57" s="54">
        <f t="shared" si="5"/>
        <v>50000</v>
      </c>
      <c r="Y57" s="130">
        <f t="shared" si="1"/>
        <v>150000</v>
      </c>
    </row>
    <row r="58" spans="1:25" s="30" customFormat="1" ht="18.75">
      <c r="A58" s="22">
        <v>24</v>
      </c>
      <c r="B58" s="23" t="s">
        <v>132</v>
      </c>
      <c r="C58" s="17">
        <v>240</v>
      </c>
      <c r="D58" s="25"/>
      <c r="E58" s="25"/>
      <c r="F58" s="106">
        <f t="shared" si="3"/>
        <v>0</v>
      </c>
      <c r="G58" s="107">
        <v>0</v>
      </c>
      <c r="H58" s="107">
        <v>0</v>
      </c>
      <c r="I58" s="107">
        <v>0</v>
      </c>
      <c r="J58" s="107">
        <v>0</v>
      </c>
      <c r="K58" s="44"/>
      <c r="L58" s="79"/>
      <c r="M58" s="44"/>
      <c r="N58" s="44"/>
      <c r="O58" s="44"/>
      <c r="P58" s="44"/>
      <c r="Q58" s="44"/>
      <c r="S58" s="54">
        <f t="shared" si="5"/>
        <v>0</v>
      </c>
      <c r="T58" s="54">
        <f t="shared" si="5"/>
        <v>0</v>
      </c>
      <c r="U58" s="54">
        <f t="shared" si="5"/>
        <v>0</v>
      </c>
      <c r="V58" s="54">
        <f t="shared" si="5"/>
        <v>0</v>
      </c>
      <c r="Y58" s="130">
        <f t="shared" si="1"/>
        <v>0</v>
      </c>
    </row>
    <row r="59" spans="1:25" s="30" customFormat="1" ht="30.75" customHeight="1">
      <c r="A59" s="22">
        <v>25</v>
      </c>
      <c r="B59" s="23" t="s">
        <v>202</v>
      </c>
      <c r="C59" s="24">
        <v>250</v>
      </c>
      <c r="D59" s="25"/>
      <c r="E59" s="25"/>
      <c r="F59" s="106">
        <f t="shared" si="3"/>
        <v>0</v>
      </c>
      <c r="G59" s="107">
        <v>0</v>
      </c>
      <c r="H59" s="107">
        <v>0</v>
      </c>
      <c r="I59" s="107">
        <v>0</v>
      </c>
      <c r="J59" s="107">
        <v>0</v>
      </c>
      <c r="K59" s="44"/>
      <c r="L59" s="79"/>
      <c r="M59" s="44"/>
      <c r="N59" s="44"/>
      <c r="O59" s="44"/>
      <c r="P59" s="44"/>
      <c r="Q59" s="44"/>
      <c r="S59" s="54">
        <f t="shared" si="5"/>
        <v>0</v>
      </c>
      <c r="T59" s="54">
        <f t="shared" si="5"/>
        <v>0</v>
      </c>
      <c r="U59" s="54">
        <f t="shared" si="5"/>
        <v>0</v>
      </c>
      <c r="V59" s="54">
        <f t="shared" si="5"/>
        <v>0</v>
      </c>
      <c r="Y59" s="130">
        <f t="shared" si="1"/>
        <v>0</v>
      </c>
    </row>
    <row r="60" spans="1:25" ht="18.75">
      <c r="A60" s="22">
        <v>26</v>
      </c>
      <c r="B60" s="23" t="s">
        <v>134</v>
      </c>
      <c r="C60" s="24">
        <v>260</v>
      </c>
      <c r="D60" s="28">
        <f>SUM(D61:D69,D71)</f>
        <v>0</v>
      </c>
      <c r="E60" s="28">
        <f>SUM(E61:E69,E71)</f>
        <v>0</v>
      </c>
      <c r="F60" s="108">
        <f t="shared" si="3"/>
        <v>-4600.400000000001</v>
      </c>
      <c r="G60" s="106">
        <f>SUM(G61:G71)</f>
        <v>-1277.6000000000001</v>
      </c>
      <c r="H60" s="106">
        <f>SUM(H61:H71)</f>
        <v>-1156.3999999999999</v>
      </c>
      <c r="I60" s="106">
        <f>SUM(I61:I71)</f>
        <v>-1063.1000000000001</v>
      </c>
      <c r="J60" s="106">
        <f>SUM(J61:J71)</f>
        <v>-1103.3000000000002</v>
      </c>
      <c r="K60" s="44"/>
      <c r="L60" s="79"/>
      <c r="M60" s="124" t="s">
        <v>317</v>
      </c>
      <c r="N60" s="44"/>
      <c r="O60" s="44"/>
      <c r="P60" s="44"/>
      <c r="Q60" s="44"/>
      <c r="S60" s="128">
        <f>S61+S62+S63+S64+S65+S66+S67+S68+S69+S70+S71</f>
        <v>1277600</v>
      </c>
      <c r="T60" s="128">
        <f>T61+T62+T63+T64+T65+T66+T67+T68+T69+T70+T71</f>
        <v>1156400</v>
      </c>
      <c r="U60" s="128">
        <f>U61+U62+U63+U64+U65+U66+U67+U68+U69+U70+U71</f>
        <v>1063100</v>
      </c>
      <c r="V60" s="128">
        <f>V61+V62+V63+V64+V65+V66+V67+V68+V69+V70+V71</f>
        <v>1103300</v>
      </c>
      <c r="Y60" s="130">
        <f t="shared" si="1"/>
        <v>4600400.000000001</v>
      </c>
    </row>
    <row r="61" spans="1:25" ht="56.25">
      <c r="A61" s="22">
        <v>27</v>
      </c>
      <c r="B61" s="26" t="s">
        <v>135</v>
      </c>
      <c r="C61" s="27">
        <v>261</v>
      </c>
      <c r="D61" s="25"/>
      <c r="E61" s="25"/>
      <c r="F61" s="106">
        <f t="shared" si="3"/>
        <v>-95</v>
      </c>
      <c r="G61" s="181">
        <f>-23000/1000</f>
        <v>-23</v>
      </c>
      <c r="H61" s="181">
        <f>-23000/1000</f>
        <v>-23</v>
      </c>
      <c r="I61" s="181">
        <f>-23000/1000</f>
        <v>-23</v>
      </c>
      <c r="J61" s="181">
        <f>-26000/1000</f>
        <v>-26</v>
      </c>
      <c r="K61" s="82"/>
      <c r="L61" s="81">
        <f aca="true" t="shared" si="7" ref="L61:L69">M61+N61+O61+P61</f>
        <v>95000</v>
      </c>
      <c r="M61" s="184">
        <v>23000</v>
      </c>
      <c r="N61" s="184">
        <v>23000</v>
      </c>
      <c r="O61" s="184">
        <v>23000</v>
      </c>
      <c r="P61" s="184">
        <v>26000</v>
      </c>
      <c r="Q61" s="44"/>
      <c r="S61" s="86">
        <f>M61</f>
        <v>23000</v>
      </c>
      <c r="T61" s="86">
        <f>N61</f>
        <v>23000</v>
      </c>
      <c r="U61" s="86">
        <f>O61</f>
        <v>23000</v>
      </c>
      <c r="V61" s="86">
        <f>P61</f>
        <v>26000</v>
      </c>
      <c r="Y61" s="130">
        <f t="shared" si="1"/>
        <v>95000</v>
      </c>
    </row>
    <row r="62" spans="1:25" ht="42" customHeight="1">
      <c r="A62" s="22">
        <v>28</v>
      </c>
      <c r="B62" s="26" t="s">
        <v>126</v>
      </c>
      <c r="C62" s="27">
        <v>262</v>
      </c>
      <c r="D62" s="25"/>
      <c r="E62" s="25"/>
      <c r="F62" s="106">
        <f t="shared" si="3"/>
        <v>-170</v>
      </c>
      <c r="G62" s="181">
        <f>-45000/1000</f>
        <v>-45</v>
      </c>
      <c r="H62" s="181">
        <f>-40000/1000</f>
        <v>-40</v>
      </c>
      <c r="I62" s="181">
        <f>-40000/1000</f>
        <v>-40</v>
      </c>
      <c r="J62" s="181">
        <f>-45000/1000</f>
        <v>-45</v>
      </c>
      <c r="K62" s="82"/>
      <c r="L62" s="81">
        <f t="shared" si="7"/>
        <v>170000</v>
      </c>
      <c r="M62" s="184">
        <v>45000</v>
      </c>
      <c r="N62" s="184">
        <v>40000</v>
      </c>
      <c r="O62" s="184">
        <v>40000</v>
      </c>
      <c r="P62" s="184">
        <v>45000</v>
      </c>
      <c r="Q62" s="44"/>
      <c r="S62" s="86">
        <f aca="true" t="shared" si="8" ref="S62:V71">M62</f>
        <v>45000</v>
      </c>
      <c r="T62" s="86">
        <f t="shared" si="8"/>
        <v>40000</v>
      </c>
      <c r="U62" s="86">
        <f t="shared" si="8"/>
        <v>40000</v>
      </c>
      <c r="V62" s="86">
        <f t="shared" si="8"/>
        <v>45000</v>
      </c>
      <c r="Y62" s="130">
        <f t="shared" si="1"/>
        <v>170000</v>
      </c>
    </row>
    <row r="63" spans="1:25" s="30" customFormat="1" ht="21" customHeight="1">
      <c r="A63" s="22">
        <v>29</v>
      </c>
      <c r="B63" s="26" t="s">
        <v>136</v>
      </c>
      <c r="C63" s="27">
        <v>263</v>
      </c>
      <c r="D63" s="25"/>
      <c r="E63" s="25"/>
      <c r="F63" s="106">
        <f t="shared" si="3"/>
        <v>-7</v>
      </c>
      <c r="G63" s="181">
        <v>-4</v>
      </c>
      <c r="H63" s="181">
        <v>-1</v>
      </c>
      <c r="I63" s="181">
        <v>-1</v>
      </c>
      <c r="J63" s="181">
        <v>-1</v>
      </c>
      <c r="K63" s="82"/>
      <c r="L63" s="81">
        <f t="shared" si="7"/>
        <v>7000</v>
      </c>
      <c r="M63" s="184">
        <v>4000</v>
      </c>
      <c r="N63" s="184">
        <v>1000</v>
      </c>
      <c r="O63" s="184">
        <v>1000</v>
      </c>
      <c r="P63" s="184">
        <v>1000</v>
      </c>
      <c r="Q63" s="44"/>
      <c r="S63" s="86">
        <f t="shared" si="8"/>
        <v>4000</v>
      </c>
      <c r="T63" s="86">
        <f t="shared" si="8"/>
        <v>1000</v>
      </c>
      <c r="U63" s="86">
        <f t="shared" si="8"/>
        <v>1000</v>
      </c>
      <c r="V63" s="86">
        <f t="shared" si="8"/>
        <v>1000</v>
      </c>
      <c r="Y63" s="130">
        <f t="shared" si="1"/>
        <v>7000</v>
      </c>
    </row>
    <row r="64" spans="1:25" s="30" customFormat="1" ht="18.75">
      <c r="A64" s="22">
        <v>30</v>
      </c>
      <c r="B64" s="26" t="s">
        <v>137</v>
      </c>
      <c r="C64" s="27">
        <v>264</v>
      </c>
      <c r="D64" s="25"/>
      <c r="E64" s="25"/>
      <c r="F64" s="106">
        <f t="shared" si="3"/>
        <v>-3371.4</v>
      </c>
      <c r="G64" s="107">
        <f>-M64/1000</f>
        <v>-900</v>
      </c>
      <c r="H64" s="107">
        <f aca="true" t="shared" si="9" ref="H64:J65">-N64/1000</f>
        <v>-855.4</v>
      </c>
      <c r="I64" s="107">
        <f t="shared" si="9"/>
        <v>-808</v>
      </c>
      <c r="J64" s="107">
        <f t="shared" si="9"/>
        <v>-808</v>
      </c>
      <c r="K64" s="82"/>
      <c r="L64" s="87">
        <f t="shared" si="7"/>
        <v>3371400</v>
      </c>
      <c r="M64" s="94">
        <f>260000*3+79001+40984+15</f>
        <v>900000</v>
      </c>
      <c r="N64" s="94">
        <f>260000*3+34426+40984-10</f>
        <v>855400</v>
      </c>
      <c r="O64" s="94">
        <f>260000*3+27459+541</f>
        <v>808000</v>
      </c>
      <c r="P64" s="94">
        <f>260000*3+27459+541</f>
        <v>808000</v>
      </c>
      <c r="Q64" s="44"/>
      <c r="R64" s="80"/>
      <c r="S64" s="86">
        <f t="shared" si="8"/>
        <v>900000</v>
      </c>
      <c r="T64" s="86">
        <f t="shared" si="8"/>
        <v>855400</v>
      </c>
      <c r="U64" s="86">
        <f t="shared" si="8"/>
        <v>808000</v>
      </c>
      <c r="V64" s="86">
        <f t="shared" si="8"/>
        <v>808000</v>
      </c>
      <c r="Y64" s="130">
        <f t="shared" si="1"/>
        <v>3371400</v>
      </c>
    </row>
    <row r="65" spans="1:25" s="30" customFormat="1" ht="18.75">
      <c r="A65" s="22">
        <v>31</v>
      </c>
      <c r="B65" s="26" t="s">
        <v>138</v>
      </c>
      <c r="C65" s="27">
        <v>265</v>
      </c>
      <c r="D65" s="25"/>
      <c r="E65" s="25"/>
      <c r="F65" s="106">
        <f t="shared" si="3"/>
        <v>-741.5</v>
      </c>
      <c r="G65" s="107">
        <f>-M65/1000</f>
        <v>-198</v>
      </c>
      <c r="H65" s="107">
        <f t="shared" si="9"/>
        <v>-188.1</v>
      </c>
      <c r="I65" s="107">
        <f t="shared" si="9"/>
        <v>-177.7</v>
      </c>
      <c r="J65" s="107">
        <f t="shared" si="9"/>
        <v>-177.7</v>
      </c>
      <c r="K65" s="82"/>
      <c r="L65" s="87">
        <f t="shared" si="7"/>
        <v>741500</v>
      </c>
      <c r="M65" s="94">
        <f>57000*3+17380+9016+604</f>
        <v>198000</v>
      </c>
      <c r="N65" s="94">
        <f>57000*3+7574+9016+510</f>
        <v>188100</v>
      </c>
      <c r="O65" s="94">
        <f>57000*3+6041+659</f>
        <v>177700</v>
      </c>
      <c r="P65" s="94">
        <f>57000*3+6041+659</f>
        <v>177700</v>
      </c>
      <c r="Q65" s="44"/>
      <c r="R65" s="80"/>
      <c r="S65" s="86">
        <f t="shared" si="8"/>
        <v>198000</v>
      </c>
      <c r="T65" s="86">
        <f t="shared" si="8"/>
        <v>188100</v>
      </c>
      <c r="U65" s="86">
        <f t="shared" si="8"/>
        <v>177700</v>
      </c>
      <c r="V65" s="86">
        <f t="shared" si="8"/>
        <v>177700</v>
      </c>
      <c r="Y65" s="130">
        <f t="shared" si="1"/>
        <v>741500</v>
      </c>
    </row>
    <row r="66" spans="1:25" s="30" customFormat="1" ht="21" customHeight="1">
      <c r="A66" s="22">
        <v>32</v>
      </c>
      <c r="B66" s="26" t="s">
        <v>122</v>
      </c>
      <c r="C66" s="27">
        <v>266</v>
      </c>
      <c r="D66" s="25"/>
      <c r="E66" s="25"/>
      <c r="F66" s="106">
        <f t="shared" si="3"/>
        <v>-150</v>
      </c>
      <c r="G66" s="181">
        <f>-85200/1000</f>
        <v>-85.2</v>
      </c>
      <c r="H66" s="181">
        <f>-32600/1000</f>
        <v>-32.6</v>
      </c>
      <c r="I66" s="181">
        <f>-3000/1000</f>
        <v>-3</v>
      </c>
      <c r="J66" s="181">
        <f>-29200/1000</f>
        <v>-29.2</v>
      </c>
      <c r="K66" s="82"/>
      <c r="L66" s="81">
        <f t="shared" si="7"/>
        <v>150000</v>
      </c>
      <c r="M66" s="184">
        <v>85200</v>
      </c>
      <c r="N66" s="184">
        <v>32600</v>
      </c>
      <c r="O66" s="184">
        <v>3000</v>
      </c>
      <c r="P66" s="184">
        <v>29200</v>
      </c>
      <c r="Q66" s="44"/>
      <c r="S66" s="86">
        <f t="shared" si="8"/>
        <v>85200</v>
      </c>
      <c r="T66" s="86">
        <f t="shared" si="8"/>
        <v>32600</v>
      </c>
      <c r="U66" s="86">
        <f t="shared" si="8"/>
        <v>3000</v>
      </c>
      <c r="V66" s="86">
        <f t="shared" si="8"/>
        <v>29200</v>
      </c>
      <c r="Y66" s="130">
        <f t="shared" si="1"/>
        <v>150000</v>
      </c>
    </row>
    <row r="67" spans="1:25" s="30" customFormat="1" ht="18.75">
      <c r="A67" s="22">
        <v>33</v>
      </c>
      <c r="B67" s="26" t="s">
        <v>123</v>
      </c>
      <c r="C67" s="27">
        <v>267</v>
      </c>
      <c r="D67" s="25"/>
      <c r="E67" s="25"/>
      <c r="F67" s="106">
        <f t="shared" si="3"/>
        <v>-3.5</v>
      </c>
      <c r="G67" s="181">
        <f>-900/1000</f>
        <v>-0.9</v>
      </c>
      <c r="H67" s="181">
        <f>-800/1000</f>
        <v>-0.8</v>
      </c>
      <c r="I67" s="181">
        <f>-900/1000</f>
        <v>-0.9</v>
      </c>
      <c r="J67" s="181">
        <f>-900/1000</f>
        <v>-0.9</v>
      </c>
      <c r="K67" s="82"/>
      <c r="L67" s="81">
        <f t="shared" si="7"/>
        <v>3500</v>
      </c>
      <c r="M67" s="184">
        <v>900</v>
      </c>
      <c r="N67" s="184">
        <v>800</v>
      </c>
      <c r="O67" s="184">
        <v>900</v>
      </c>
      <c r="P67" s="184">
        <v>900</v>
      </c>
      <c r="Q67" s="44"/>
      <c r="S67" s="86">
        <f t="shared" si="8"/>
        <v>900</v>
      </c>
      <c r="T67" s="86">
        <f t="shared" si="8"/>
        <v>800</v>
      </c>
      <c r="U67" s="86">
        <f t="shared" si="8"/>
        <v>900</v>
      </c>
      <c r="V67" s="86">
        <f t="shared" si="8"/>
        <v>900</v>
      </c>
      <c r="Y67" s="130">
        <f t="shared" si="1"/>
        <v>3500</v>
      </c>
    </row>
    <row r="68" spans="1:25" s="30" customFormat="1" ht="18.75">
      <c r="A68" s="22">
        <v>34</v>
      </c>
      <c r="B68" s="23" t="s">
        <v>120</v>
      </c>
      <c r="C68" s="27">
        <v>268</v>
      </c>
      <c r="D68" s="25"/>
      <c r="E68" s="25"/>
      <c r="F68" s="106">
        <f t="shared" si="3"/>
        <v>-40</v>
      </c>
      <c r="G68" s="181">
        <f>-11000/1000</f>
        <v>-11</v>
      </c>
      <c r="H68" s="181">
        <f>-10000/1000</f>
        <v>-10</v>
      </c>
      <c r="I68" s="181">
        <f>-9000/1000</f>
        <v>-9</v>
      </c>
      <c r="J68" s="181">
        <f>-10000/1000</f>
        <v>-10</v>
      </c>
      <c r="K68" s="82"/>
      <c r="L68" s="81">
        <f t="shared" si="7"/>
        <v>40000</v>
      </c>
      <c r="M68" s="184">
        <v>11000</v>
      </c>
      <c r="N68" s="184">
        <v>10000</v>
      </c>
      <c r="O68" s="184">
        <v>9000</v>
      </c>
      <c r="P68" s="184">
        <v>10000</v>
      </c>
      <c r="Q68" s="44"/>
      <c r="S68" s="86">
        <f t="shared" si="8"/>
        <v>11000</v>
      </c>
      <c r="T68" s="86">
        <f t="shared" si="8"/>
        <v>10000</v>
      </c>
      <c r="U68" s="86">
        <f t="shared" si="8"/>
        <v>9000</v>
      </c>
      <c r="V68" s="86">
        <f t="shared" si="8"/>
        <v>10000</v>
      </c>
      <c r="Y68" s="130">
        <f t="shared" si="1"/>
        <v>40000</v>
      </c>
    </row>
    <row r="69" spans="1:25" s="30" customFormat="1" ht="21" customHeight="1">
      <c r="A69" s="22">
        <v>35</v>
      </c>
      <c r="B69" s="23" t="s">
        <v>130</v>
      </c>
      <c r="C69" s="27">
        <v>269</v>
      </c>
      <c r="D69" s="25"/>
      <c r="E69" s="25"/>
      <c r="F69" s="106">
        <f t="shared" si="3"/>
        <v>-20</v>
      </c>
      <c r="G69" s="181">
        <f>-10000/1000</f>
        <v>-10</v>
      </c>
      <c r="H69" s="181">
        <f>-5000/1000</f>
        <v>-5</v>
      </c>
      <c r="I69" s="181">
        <v>0</v>
      </c>
      <c r="J69" s="181">
        <f>-5000/1000</f>
        <v>-5</v>
      </c>
      <c r="K69" s="82"/>
      <c r="L69" s="81">
        <f t="shared" si="7"/>
        <v>20000</v>
      </c>
      <c r="M69" s="184">
        <v>10000</v>
      </c>
      <c r="N69" s="184">
        <v>5000</v>
      </c>
      <c r="O69" s="184">
        <v>0</v>
      </c>
      <c r="P69" s="184">
        <v>5000</v>
      </c>
      <c r="Q69" s="44"/>
      <c r="S69" s="86">
        <f t="shared" si="8"/>
        <v>10000</v>
      </c>
      <c r="T69" s="86">
        <f t="shared" si="8"/>
        <v>5000</v>
      </c>
      <c r="U69" s="86">
        <f t="shared" si="8"/>
        <v>0</v>
      </c>
      <c r="V69" s="86">
        <f t="shared" si="8"/>
        <v>5000</v>
      </c>
      <c r="Y69" s="130">
        <f t="shared" si="1"/>
        <v>20000</v>
      </c>
    </row>
    <row r="70" spans="1:25" s="30" customFormat="1" ht="18.75">
      <c r="A70" s="22">
        <v>36</v>
      </c>
      <c r="B70" s="23" t="s">
        <v>139</v>
      </c>
      <c r="C70" s="24">
        <v>270</v>
      </c>
      <c r="D70" s="25"/>
      <c r="E70" s="25"/>
      <c r="F70" s="106">
        <f>SUM(G70:J70)</f>
        <v>0</v>
      </c>
      <c r="G70" s="107">
        <v>0</v>
      </c>
      <c r="H70" s="107">
        <v>0</v>
      </c>
      <c r="I70" s="107">
        <v>0</v>
      </c>
      <c r="J70" s="107">
        <v>0</v>
      </c>
      <c r="K70" s="44"/>
      <c r="L70" s="79"/>
      <c r="M70" s="44"/>
      <c r="N70" s="44"/>
      <c r="O70" s="44"/>
      <c r="P70" s="44"/>
      <c r="Q70" s="44"/>
      <c r="S70" s="86">
        <f t="shared" si="8"/>
        <v>0</v>
      </c>
      <c r="T70" s="86">
        <f t="shared" si="8"/>
        <v>0</v>
      </c>
      <c r="U70" s="86">
        <f t="shared" si="8"/>
        <v>0</v>
      </c>
      <c r="V70" s="86">
        <f t="shared" si="8"/>
        <v>0</v>
      </c>
      <c r="Y70" s="130">
        <f t="shared" si="1"/>
        <v>0</v>
      </c>
    </row>
    <row r="71" spans="1:25" s="30" customFormat="1" ht="37.5">
      <c r="A71" s="22">
        <v>37</v>
      </c>
      <c r="B71" s="23" t="s">
        <v>203</v>
      </c>
      <c r="C71" s="24">
        <v>280</v>
      </c>
      <c r="D71" s="25"/>
      <c r="E71" s="25"/>
      <c r="F71" s="106">
        <f t="shared" si="3"/>
        <v>-2</v>
      </c>
      <c r="G71" s="181">
        <f>-500/1000</f>
        <v>-0.5</v>
      </c>
      <c r="H71" s="181">
        <f>-500/1000</f>
        <v>-0.5</v>
      </c>
      <c r="I71" s="181">
        <f>-500/1000</f>
        <v>-0.5</v>
      </c>
      <c r="J71" s="181">
        <f>-500/1000</f>
        <v>-0.5</v>
      </c>
      <c r="K71" s="82"/>
      <c r="L71" s="81">
        <f>M71+N71+O71+P71</f>
        <v>2000</v>
      </c>
      <c r="M71" s="184">
        <v>500</v>
      </c>
      <c r="N71" s="184">
        <v>500</v>
      </c>
      <c r="O71" s="184">
        <v>500</v>
      </c>
      <c r="P71" s="184">
        <v>500</v>
      </c>
      <c r="Q71" s="44"/>
      <c r="S71" s="86">
        <f t="shared" si="8"/>
        <v>500</v>
      </c>
      <c r="T71" s="86">
        <f t="shared" si="8"/>
        <v>500</v>
      </c>
      <c r="U71" s="86">
        <f t="shared" si="8"/>
        <v>500</v>
      </c>
      <c r="V71" s="86">
        <f t="shared" si="8"/>
        <v>500</v>
      </c>
      <c r="Y71" s="130">
        <f t="shared" si="1"/>
        <v>2000</v>
      </c>
    </row>
    <row r="72" spans="1:25" s="30" customFormat="1" ht="18.75">
      <c r="A72" s="22">
        <v>38</v>
      </c>
      <c r="B72" s="23" t="s">
        <v>140</v>
      </c>
      <c r="C72" s="24">
        <v>290</v>
      </c>
      <c r="D72" s="29"/>
      <c r="E72" s="29"/>
      <c r="F72" s="106">
        <f t="shared" si="3"/>
        <v>0</v>
      </c>
      <c r="G72" s="109">
        <f>SUM(G73:G74)</f>
        <v>0</v>
      </c>
      <c r="H72" s="109">
        <f>SUM(H73:H74)</f>
        <v>0</v>
      </c>
      <c r="I72" s="109">
        <f>SUM(I73:I74)</f>
        <v>0</v>
      </c>
      <c r="J72" s="109">
        <f>SUM(J73:J74)</f>
        <v>0</v>
      </c>
      <c r="K72" s="44"/>
      <c r="L72" s="79"/>
      <c r="M72" s="124" t="s">
        <v>318</v>
      </c>
      <c r="N72" s="44"/>
      <c r="O72" s="44"/>
      <c r="P72" s="44"/>
      <c r="Q72" s="44"/>
      <c r="S72" s="127">
        <f>S73+S74</f>
        <v>0</v>
      </c>
      <c r="T72" s="127">
        <f>T73+T74</f>
        <v>0</v>
      </c>
      <c r="U72" s="127">
        <f>U73+U74</f>
        <v>0</v>
      </c>
      <c r="V72" s="127">
        <f>V73+V74</f>
        <v>0</v>
      </c>
      <c r="Y72" s="130">
        <f t="shared" si="1"/>
        <v>0</v>
      </c>
    </row>
    <row r="73" spans="1:25" s="30" customFormat="1" ht="18.75">
      <c r="A73" s="22">
        <v>39</v>
      </c>
      <c r="B73" s="26" t="s">
        <v>141</v>
      </c>
      <c r="C73" s="32">
        <v>291</v>
      </c>
      <c r="D73" s="25"/>
      <c r="E73" s="25"/>
      <c r="F73" s="106">
        <f t="shared" si="3"/>
        <v>0</v>
      </c>
      <c r="G73" s="107">
        <v>0</v>
      </c>
      <c r="H73" s="107">
        <v>0</v>
      </c>
      <c r="I73" s="107">
        <v>0</v>
      </c>
      <c r="J73" s="107">
        <v>0</v>
      </c>
      <c r="K73" s="44"/>
      <c r="L73" s="79"/>
      <c r="M73" s="44"/>
      <c r="N73" s="44"/>
      <c r="O73" s="44"/>
      <c r="P73" s="44"/>
      <c r="Q73" s="44"/>
      <c r="S73" s="129">
        <f aca="true" t="shared" si="10" ref="S73:V76">M73</f>
        <v>0</v>
      </c>
      <c r="T73" s="129">
        <f t="shared" si="10"/>
        <v>0</v>
      </c>
      <c r="U73" s="129">
        <f t="shared" si="10"/>
        <v>0</v>
      </c>
      <c r="V73" s="129">
        <f t="shared" si="10"/>
        <v>0</v>
      </c>
      <c r="Y73" s="130">
        <f t="shared" si="1"/>
        <v>0</v>
      </c>
    </row>
    <row r="74" spans="1:25" s="30" customFormat="1" ht="18" customHeight="1">
      <c r="A74" s="22">
        <v>40</v>
      </c>
      <c r="B74" s="26" t="s">
        <v>142</v>
      </c>
      <c r="C74" s="32">
        <v>292</v>
      </c>
      <c r="D74" s="25"/>
      <c r="E74" s="25"/>
      <c r="F74" s="106">
        <f t="shared" si="3"/>
        <v>0</v>
      </c>
      <c r="G74" s="107">
        <v>0</v>
      </c>
      <c r="H74" s="107">
        <v>0</v>
      </c>
      <c r="I74" s="107">
        <v>0</v>
      </c>
      <c r="J74" s="107">
        <v>0</v>
      </c>
      <c r="K74" s="44"/>
      <c r="L74" s="79"/>
      <c r="M74" s="44"/>
      <c r="N74" s="44"/>
      <c r="O74" s="44"/>
      <c r="P74" s="44"/>
      <c r="Q74" s="44"/>
      <c r="S74" s="129">
        <f t="shared" si="10"/>
        <v>0</v>
      </c>
      <c r="T74" s="129">
        <f t="shared" si="10"/>
        <v>0</v>
      </c>
      <c r="U74" s="129">
        <f t="shared" si="10"/>
        <v>0</v>
      </c>
      <c r="V74" s="129">
        <f t="shared" si="10"/>
        <v>0</v>
      </c>
      <c r="Y74" s="130">
        <f t="shared" si="1"/>
        <v>0</v>
      </c>
    </row>
    <row r="75" spans="1:25" s="30" customFormat="1" ht="37.5">
      <c r="A75" s="22">
        <v>41</v>
      </c>
      <c r="B75" s="23" t="s">
        <v>143</v>
      </c>
      <c r="C75" s="14">
        <v>300</v>
      </c>
      <c r="D75" s="25"/>
      <c r="E75" s="25"/>
      <c r="F75" s="106">
        <f t="shared" si="3"/>
        <v>-15</v>
      </c>
      <c r="G75" s="181">
        <v>0</v>
      </c>
      <c r="H75" s="181">
        <v>0</v>
      </c>
      <c r="I75" s="181">
        <v>0</v>
      </c>
      <c r="J75" s="181">
        <v>-15</v>
      </c>
      <c r="K75" s="82"/>
      <c r="L75" s="81">
        <f>M75+N75+O75+P75</f>
        <v>15000</v>
      </c>
      <c r="M75" s="184"/>
      <c r="N75" s="184"/>
      <c r="O75" s="184"/>
      <c r="P75" s="184">
        <v>15000</v>
      </c>
      <c r="Q75" s="44"/>
      <c r="S75" s="129">
        <f t="shared" si="10"/>
        <v>0</v>
      </c>
      <c r="T75" s="129">
        <f t="shared" si="10"/>
        <v>0</v>
      </c>
      <c r="U75" s="129">
        <f t="shared" si="10"/>
        <v>0</v>
      </c>
      <c r="V75" s="129">
        <f t="shared" si="10"/>
        <v>15000</v>
      </c>
      <c r="Y75" s="130">
        <f t="shared" si="1"/>
        <v>15000</v>
      </c>
    </row>
    <row r="76" spans="1:25" s="30" customFormat="1" ht="18.75">
      <c r="A76" s="22">
        <v>42</v>
      </c>
      <c r="B76" s="33" t="s">
        <v>144</v>
      </c>
      <c r="C76" s="34"/>
      <c r="D76" s="34"/>
      <c r="E76" s="34"/>
      <c r="F76" s="34"/>
      <c r="G76" s="34"/>
      <c r="H76" s="34"/>
      <c r="I76" s="34"/>
      <c r="J76" s="35"/>
      <c r="K76" s="44"/>
      <c r="L76" s="79"/>
      <c r="M76" s="44"/>
      <c r="N76" s="44"/>
      <c r="O76" s="44"/>
      <c r="P76" s="44"/>
      <c r="Q76" s="44"/>
      <c r="S76" s="129">
        <f t="shared" si="10"/>
        <v>0</v>
      </c>
      <c r="T76" s="129">
        <f t="shared" si="10"/>
        <v>0</v>
      </c>
      <c r="U76" s="129">
        <f t="shared" si="10"/>
        <v>0</v>
      </c>
      <c r="V76" s="129">
        <f t="shared" si="10"/>
        <v>0</v>
      </c>
      <c r="Y76" s="130">
        <f t="shared" si="1"/>
        <v>0</v>
      </c>
    </row>
    <row r="77" spans="1:25" s="30" customFormat="1" ht="19.5" customHeight="1">
      <c r="A77" s="22">
        <v>43</v>
      </c>
      <c r="B77" s="23" t="s">
        <v>145</v>
      </c>
      <c r="C77" s="14">
        <v>310</v>
      </c>
      <c r="D77" s="25"/>
      <c r="E77" s="25"/>
      <c r="F77" s="106">
        <f aca="true" t="shared" si="11" ref="F77:F82">SUM(G77:J77)</f>
        <v>-3802.5</v>
      </c>
      <c r="G77" s="107">
        <f>G42+G45+G46+G51+G54+G55+G56+G57</f>
        <v>-779.4</v>
      </c>
      <c r="H77" s="107">
        <f>H42+H45+H46+H51+H54+H55+H56+H57</f>
        <v>-923.1</v>
      </c>
      <c r="I77" s="107">
        <f>I42+I45+I46+I51+I54+I55+I56+I57</f>
        <v>-942.5999999999999</v>
      </c>
      <c r="J77" s="107">
        <f>J42+J45+J46+J51+J54+J55+J56+J57</f>
        <v>-1157.4</v>
      </c>
      <c r="K77" s="44"/>
      <c r="L77" s="79"/>
      <c r="M77" s="125" t="s">
        <v>313</v>
      </c>
      <c r="N77" s="44"/>
      <c r="O77" s="44"/>
      <c r="P77" s="44"/>
      <c r="Q77" s="44"/>
      <c r="S77" s="123">
        <f>S42+S45+S46+S51+S54+S55+S56+S57</f>
        <v>779400</v>
      </c>
      <c r="T77" s="123">
        <f>T42+T45+T46+T51+T54+T55+T56+T57</f>
        <v>923100</v>
      </c>
      <c r="U77" s="123">
        <f>U42+U45+U46+U51+U54+U55+U56+U57</f>
        <v>942600</v>
      </c>
      <c r="V77" s="123">
        <f>V42+V45+V46+V51+V54+V55+V56+V57</f>
        <v>1157400</v>
      </c>
      <c r="Y77" s="130">
        <f t="shared" si="1"/>
        <v>3802500</v>
      </c>
    </row>
    <row r="78" spans="1:25" s="30" customFormat="1" ht="18.75">
      <c r="A78" s="22">
        <v>44</v>
      </c>
      <c r="B78" s="23" t="s">
        <v>127</v>
      </c>
      <c r="C78" s="14">
        <v>320</v>
      </c>
      <c r="D78" s="25"/>
      <c r="E78" s="25"/>
      <c r="F78" s="106">
        <f t="shared" si="11"/>
        <v>-25485.06668</v>
      </c>
      <c r="G78" s="107">
        <f>G52+G64</f>
        <v>-6543.479590000001</v>
      </c>
      <c r="H78" s="107">
        <f aca="true" t="shared" si="12" ref="H78:J79">H52+H64</f>
        <v>-6374.221990000001</v>
      </c>
      <c r="I78" s="107">
        <f t="shared" si="12"/>
        <v>-6283.318700000001</v>
      </c>
      <c r="J78" s="107">
        <f t="shared" si="12"/>
        <v>-6284.0464</v>
      </c>
      <c r="K78" s="44"/>
      <c r="M78" s="124" t="s">
        <v>319</v>
      </c>
      <c r="Q78" s="44"/>
      <c r="S78" s="126">
        <f aca="true" t="shared" si="13" ref="S78:V79">S52+S64</f>
        <v>6543479.590000001</v>
      </c>
      <c r="T78" s="126">
        <f t="shared" si="13"/>
        <v>6374221.990000001</v>
      </c>
      <c r="U78" s="126">
        <f t="shared" si="13"/>
        <v>6283318.700000001</v>
      </c>
      <c r="V78" s="126">
        <f t="shared" si="13"/>
        <v>6284046.4</v>
      </c>
      <c r="Y78" s="130">
        <f t="shared" si="1"/>
        <v>25485066.68</v>
      </c>
    </row>
    <row r="79" spans="1:25" s="30" customFormat="1" ht="18.75">
      <c r="A79" s="22">
        <v>45</v>
      </c>
      <c r="B79" s="23" t="s">
        <v>128</v>
      </c>
      <c r="C79" s="14">
        <v>330</v>
      </c>
      <c r="D79" s="25"/>
      <c r="E79" s="25"/>
      <c r="F79" s="106">
        <f t="shared" si="11"/>
        <v>-5568.31513</v>
      </c>
      <c r="G79" s="107">
        <f>G53+G65</f>
        <v>-1429.96559</v>
      </c>
      <c r="H79" s="107">
        <f t="shared" si="12"/>
        <v>-1392.7291899999998</v>
      </c>
      <c r="I79" s="107">
        <f t="shared" si="12"/>
        <v>-1372.7301200000002</v>
      </c>
      <c r="J79" s="107">
        <f t="shared" si="12"/>
        <v>-1372.8902300000002</v>
      </c>
      <c r="K79" s="44"/>
      <c r="L79" s="79"/>
      <c r="M79" s="124" t="s">
        <v>320</v>
      </c>
      <c r="N79" s="44"/>
      <c r="O79" s="44"/>
      <c r="P79" s="44"/>
      <c r="Q79" s="44"/>
      <c r="S79" s="126">
        <f t="shared" si="13"/>
        <v>1429965.59</v>
      </c>
      <c r="T79" s="126">
        <f t="shared" si="13"/>
        <v>1392729.19</v>
      </c>
      <c r="U79" s="126">
        <f t="shared" si="13"/>
        <v>1372730.12</v>
      </c>
      <c r="V79" s="126">
        <f t="shared" si="13"/>
        <v>1372890.2300000002</v>
      </c>
      <c r="Y79" s="130">
        <f t="shared" si="1"/>
        <v>5568315.13</v>
      </c>
    </row>
    <row r="80" spans="1:25" s="30" customFormat="1" ht="18.75">
      <c r="A80" s="22">
        <v>46</v>
      </c>
      <c r="B80" s="23" t="s">
        <v>132</v>
      </c>
      <c r="C80" s="14">
        <v>340</v>
      </c>
      <c r="D80" s="25"/>
      <c r="E80" s="25"/>
      <c r="F80" s="106">
        <f t="shared" si="11"/>
        <v>0</v>
      </c>
      <c r="G80" s="107">
        <f>G58+G70</f>
        <v>0</v>
      </c>
      <c r="H80" s="107">
        <f>H58+H70</f>
        <v>0</v>
      </c>
      <c r="I80" s="107">
        <f>I58+I70</f>
        <v>0</v>
      </c>
      <c r="J80" s="107">
        <f>J58+J70</f>
        <v>0</v>
      </c>
      <c r="K80" s="44"/>
      <c r="L80" s="79"/>
      <c r="M80" s="124" t="s">
        <v>321</v>
      </c>
      <c r="N80" s="44"/>
      <c r="O80" s="44"/>
      <c r="P80" s="44"/>
      <c r="Q80" s="44"/>
      <c r="S80" s="127">
        <f>S58+S70</f>
        <v>0</v>
      </c>
      <c r="T80" s="127">
        <f>T58+T70</f>
        <v>0</v>
      </c>
      <c r="U80" s="127">
        <f>U58+U70</f>
        <v>0</v>
      </c>
      <c r="V80" s="127">
        <f>V58+V70</f>
        <v>0</v>
      </c>
      <c r="Y80" s="130">
        <f t="shared" si="1"/>
        <v>0</v>
      </c>
    </row>
    <row r="81" spans="1:25" s="30" customFormat="1" ht="18" customHeight="1">
      <c r="A81" s="22">
        <v>47</v>
      </c>
      <c r="B81" s="23" t="s">
        <v>146</v>
      </c>
      <c r="C81" s="14">
        <v>350</v>
      </c>
      <c r="D81" s="25"/>
      <c r="E81" s="25"/>
      <c r="F81" s="106">
        <f t="shared" si="11"/>
        <v>-502.5</v>
      </c>
      <c r="G81" s="107">
        <f>G59+G61+G62+G63+G66+G67+G68+G69+G71+G75</f>
        <v>-179.6</v>
      </c>
      <c r="H81" s="107">
        <f>H59+H61+H62+H63+H66+H67+H68+H69+H71+H75</f>
        <v>-112.89999999999999</v>
      </c>
      <c r="I81" s="107">
        <f>I59+I61+I62+I63+I66+I67+I68+I69+I71+I75</f>
        <v>-77.4</v>
      </c>
      <c r="J81" s="107">
        <f>J59+J61+J62+J63+J66+J67+J68+J69+J71+J75</f>
        <v>-132.60000000000002</v>
      </c>
      <c r="K81" s="44"/>
      <c r="L81" s="79"/>
      <c r="M81" s="124" t="s">
        <v>322</v>
      </c>
      <c r="N81" s="44"/>
      <c r="O81" s="44"/>
      <c r="P81" s="44"/>
      <c r="Q81" s="44"/>
      <c r="S81" s="126">
        <f>S59+S61+S62+S63+S66+S67+S68+S69+S71+S75</f>
        <v>179600</v>
      </c>
      <c r="T81" s="126">
        <f>T59+T61+T62+T63+T66+T67+T68+T69+T71+T75</f>
        <v>112900</v>
      </c>
      <c r="U81" s="126">
        <f>U59+U61+U62+U63+U66+U67+U68+U69+U71+U75</f>
        <v>77400</v>
      </c>
      <c r="V81" s="126">
        <f>V59+V61+V62+V63+V66+V67+V68+V69+V71+V75</f>
        <v>132600</v>
      </c>
      <c r="Y81" s="130">
        <f t="shared" si="1"/>
        <v>502500</v>
      </c>
    </row>
    <row r="82" spans="1:25" s="30" customFormat="1" ht="18.75">
      <c r="A82" s="22">
        <v>48</v>
      </c>
      <c r="B82" s="23" t="s">
        <v>147</v>
      </c>
      <c r="C82" s="14">
        <v>360</v>
      </c>
      <c r="D82" s="25"/>
      <c r="E82" s="25"/>
      <c r="F82" s="108">
        <f t="shared" si="11"/>
        <v>-35358.38181</v>
      </c>
      <c r="G82" s="107">
        <f>SUM(G77:G81)</f>
        <v>-8932.44518</v>
      </c>
      <c r="H82" s="107">
        <f>SUM(H77:H81)</f>
        <v>-8802.95118</v>
      </c>
      <c r="I82" s="107">
        <f>SUM(I77:I81)</f>
        <v>-8676.04882</v>
      </c>
      <c r="J82" s="107">
        <f>SUM(J77:J81)</f>
        <v>-8946.936630000002</v>
      </c>
      <c r="K82" s="44"/>
      <c r="L82" s="121">
        <f>SUM(L43:L77)</f>
        <v>35358381.81</v>
      </c>
      <c r="M82" s="121">
        <f>SUM(M43:M77)</f>
        <v>8932445.18</v>
      </c>
      <c r="N82" s="121">
        <f>SUM(N43:N77)</f>
        <v>8802951.180000002</v>
      </c>
      <c r="O82" s="121">
        <f>SUM(O43:O77)</f>
        <v>8676048.82</v>
      </c>
      <c r="P82" s="121">
        <f>SUM(P43:P77)</f>
        <v>8946936.63</v>
      </c>
      <c r="Q82" s="44"/>
      <c r="S82" s="123">
        <f>SUM(S77:S81)</f>
        <v>8932445.180000002</v>
      </c>
      <c r="T82" s="123">
        <f>SUM(T77:T81)</f>
        <v>8802951.180000002</v>
      </c>
      <c r="U82" s="123">
        <f>SUM(U77:U81)</f>
        <v>8676048.82</v>
      </c>
      <c r="V82" s="123">
        <f>SUM(V77:V81)</f>
        <v>8946936.63</v>
      </c>
      <c r="Y82" s="130">
        <f t="shared" si="1"/>
        <v>35358381.81</v>
      </c>
    </row>
    <row r="83" spans="1:17" s="30" customFormat="1" ht="18.75">
      <c r="A83" s="22">
        <v>49</v>
      </c>
      <c r="B83" s="33" t="s">
        <v>148</v>
      </c>
      <c r="C83" s="34"/>
      <c r="D83" s="34"/>
      <c r="E83" s="34"/>
      <c r="F83" s="112"/>
      <c r="G83" s="112"/>
      <c r="H83" s="112"/>
      <c r="I83" s="112"/>
      <c r="J83" s="113"/>
      <c r="K83" s="44"/>
      <c r="L83" s="79"/>
      <c r="M83" s="44"/>
      <c r="N83" s="44"/>
      <c r="O83" s="44"/>
      <c r="P83" s="44"/>
      <c r="Q83" s="44"/>
    </row>
    <row r="84" spans="1:17" s="30" customFormat="1" ht="18.75">
      <c r="A84" s="22">
        <v>50</v>
      </c>
      <c r="B84" s="23" t="s">
        <v>149</v>
      </c>
      <c r="C84" s="14">
        <v>370</v>
      </c>
      <c r="D84" s="29"/>
      <c r="E84" s="29"/>
      <c r="F84" s="108">
        <f>SUM(G84:J84)</f>
        <v>-500</v>
      </c>
      <c r="G84" s="109">
        <f>SUM(G85)</f>
        <v>-120.88781</v>
      </c>
      <c r="H84" s="109">
        <f>SUM(H85)</f>
        <v>-100</v>
      </c>
      <c r="I84" s="109">
        <f>SUM(I85)</f>
        <v>-100</v>
      </c>
      <c r="J84" s="109">
        <f>SUM(J85)</f>
        <v>-179.11219</v>
      </c>
      <c r="K84" s="44"/>
      <c r="L84" s="79"/>
      <c r="M84" s="44"/>
      <c r="N84" s="44"/>
      <c r="O84" s="44"/>
      <c r="P84" s="44"/>
      <c r="Q84" s="44"/>
    </row>
    <row r="85" spans="1:17" s="30" customFormat="1" ht="56.25">
      <c r="A85" s="22">
        <v>51</v>
      </c>
      <c r="B85" s="23" t="s">
        <v>308</v>
      </c>
      <c r="C85" s="32">
        <v>371</v>
      </c>
      <c r="D85" s="25"/>
      <c r="E85" s="25"/>
      <c r="F85" s="106">
        <f>SUM(G85:J85)</f>
        <v>-500</v>
      </c>
      <c r="G85" s="107">
        <f>-120887.81/1000</f>
        <v>-120.88781</v>
      </c>
      <c r="H85" s="107">
        <f>-100000/1000</f>
        <v>-100</v>
      </c>
      <c r="I85" s="107">
        <f>-100000/1000</f>
        <v>-100</v>
      </c>
      <c r="J85" s="107">
        <f>-179112.19/1000</f>
        <v>-179.11219</v>
      </c>
      <c r="K85" s="82"/>
      <c r="L85" s="81">
        <f>M85+N85+O85+P85</f>
        <v>500000</v>
      </c>
      <c r="M85" s="184">
        <f>15223.17+5664.64+100000</f>
        <v>120887.81</v>
      </c>
      <c r="N85" s="184">
        <v>100000</v>
      </c>
      <c r="O85" s="184">
        <v>100000</v>
      </c>
      <c r="P85" s="184">
        <v>179112.19</v>
      </c>
      <c r="Q85" s="44"/>
    </row>
    <row r="86" spans="1:17" s="30" customFormat="1" ht="18.75">
      <c r="A86" s="22">
        <v>52</v>
      </c>
      <c r="B86" s="21" t="s">
        <v>150</v>
      </c>
      <c r="C86" s="36">
        <v>380</v>
      </c>
      <c r="D86" s="37">
        <f>SUM(D87:D92)</f>
        <v>0</v>
      </c>
      <c r="E86" s="37">
        <f>SUM(E87:E92)</f>
        <v>0</v>
      </c>
      <c r="F86" s="108">
        <f aca="true" t="shared" si="14" ref="F86:F92">SUM(G86:J86)</f>
        <v>-300</v>
      </c>
      <c r="G86" s="108">
        <f>SUM(G87:G92)</f>
        <v>-100</v>
      </c>
      <c r="H86" s="108">
        <f>SUM(H87:H92)</f>
        <v>0</v>
      </c>
      <c r="I86" s="108">
        <f>SUM(I87:I92)</f>
        <v>-200</v>
      </c>
      <c r="J86" s="108">
        <f>SUM(J87:J92)</f>
        <v>0</v>
      </c>
      <c r="K86" s="44"/>
      <c r="L86" s="87"/>
      <c r="M86" s="80"/>
      <c r="N86" s="80"/>
      <c r="O86" s="80"/>
      <c r="P86" s="80"/>
      <c r="Q86" s="44"/>
    </row>
    <row r="87" spans="1:17" s="30" customFormat="1" ht="18.75">
      <c r="A87" s="22">
        <v>53</v>
      </c>
      <c r="B87" s="23" t="s">
        <v>151</v>
      </c>
      <c r="C87" s="38">
        <v>381</v>
      </c>
      <c r="D87" s="25"/>
      <c r="E87" s="25"/>
      <c r="F87" s="107">
        <f t="shared" si="14"/>
        <v>0</v>
      </c>
      <c r="G87" s="107"/>
      <c r="H87" s="107"/>
      <c r="I87" s="107"/>
      <c r="J87" s="107"/>
      <c r="K87" s="44"/>
      <c r="L87" s="87"/>
      <c r="M87" s="80"/>
      <c r="N87" s="80"/>
      <c r="O87" s="80"/>
      <c r="P87" s="80"/>
      <c r="Q87" s="44"/>
    </row>
    <row r="88" spans="1:17" s="30" customFormat="1" ht="18.75">
      <c r="A88" s="22">
        <v>54</v>
      </c>
      <c r="B88" s="23" t="s">
        <v>152</v>
      </c>
      <c r="C88" s="39">
        <v>382</v>
      </c>
      <c r="D88" s="25"/>
      <c r="E88" s="25"/>
      <c r="F88" s="107">
        <f t="shared" si="14"/>
        <v>-300</v>
      </c>
      <c r="G88" s="181">
        <f>-100000/1000</f>
        <v>-100</v>
      </c>
      <c r="H88" s="181">
        <v>0</v>
      </c>
      <c r="I88" s="181">
        <f>-200000/1000</f>
        <v>-200</v>
      </c>
      <c r="J88" s="181">
        <v>0</v>
      </c>
      <c r="K88" s="44"/>
      <c r="L88" s="81">
        <f>M88+N88+O88+P88</f>
        <v>300000</v>
      </c>
      <c r="M88" s="184">
        <v>100000</v>
      </c>
      <c r="N88" s="184"/>
      <c r="O88" s="184">
        <v>200000</v>
      </c>
      <c r="P88" s="184"/>
      <c r="Q88" s="44"/>
    </row>
    <row r="89" spans="1:17" s="30" customFormat="1" ht="35.25" customHeight="1">
      <c r="A89" s="22">
        <v>55</v>
      </c>
      <c r="B89" s="23" t="s">
        <v>153</v>
      </c>
      <c r="C89" s="38">
        <v>383</v>
      </c>
      <c r="D89" s="25"/>
      <c r="E89" s="25"/>
      <c r="F89" s="107">
        <f t="shared" si="14"/>
        <v>0</v>
      </c>
      <c r="G89" s="107"/>
      <c r="H89" s="107"/>
      <c r="I89" s="107"/>
      <c r="J89" s="107"/>
      <c r="K89" s="44"/>
      <c r="L89" s="87"/>
      <c r="M89" s="80"/>
      <c r="N89" s="80"/>
      <c r="O89" s="80"/>
      <c r="P89" s="80"/>
      <c r="Q89" s="44"/>
    </row>
    <row r="90" spans="1:17" s="30" customFormat="1" ht="18.75">
      <c r="A90" s="22">
        <v>56</v>
      </c>
      <c r="B90" s="23" t="s">
        <v>154</v>
      </c>
      <c r="C90" s="39">
        <v>384</v>
      </c>
      <c r="D90" s="25"/>
      <c r="E90" s="25"/>
      <c r="F90" s="107">
        <f t="shared" si="14"/>
        <v>0</v>
      </c>
      <c r="G90" s="107"/>
      <c r="H90" s="107"/>
      <c r="I90" s="107"/>
      <c r="J90" s="107"/>
      <c r="K90" s="44"/>
      <c r="L90" s="87"/>
      <c r="M90" s="80"/>
      <c r="N90" s="80"/>
      <c r="O90" s="80"/>
      <c r="P90" s="80"/>
      <c r="Q90" s="44"/>
    </row>
    <row r="91" spans="1:17" s="30" customFormat="1" ht="36.75" customHeight="1">
      <c r="A91" s="22">
        <v>57</v>
      </c>
      <c r="B91" s="23" t="s">
        <v>155</v>
      </c>
      <c r="C91" s="39">
        <v>385</v>
      </c>
      <c r="D91" s="25"/>
      <c r="E91" s="25"/>
      <c r="F91" s="107">
        <f t="shared" si="14"/>
        <v>0</v>
      </c>
      <c r="G91" s="107"/>
      <c r="H91" s="107"/>
      <c r="I91" s="107"/>
      <c r="J91" s="107"/>
      <c r="K91" s="44"/>
      <c r="L91" s="87"/>
      <c r="M91" s="80"/>
      <c r="N91" s="80"/>
      <c r="O91" s="80"/>
      <c r="P91" s="80"/>
      <c r="Q91" s="44"/>
    </row>
    <row r="92" spans="1:18" s="30" customFormat="1" ht="18" customHeight="1">
      <c r="A92" s="22">
        <v>58</v>
      </c>
      <c r="B92" s="23" t="s">
        <v>156</v>
      </c>
      <c r="C92" s="38">
        <v>386</v>
      </c>
      <c r="D92" s="25"/>
      <c r="E92" s="25"/>
      <c r="F92" s="107">
        <f t="shared" si="14"/>
        <v>0</v>
      </c>
      <c r="G92" s="107">
        <v>0</v>
      </c>
      <c r="H92" s="107">
        <v>0</v>
      </c>
      <c r="I92" s="107">
        <v>0</v>
      </c>
      <c r="J92" s="107">
        <v>0</v>
      </c>
      <c r="K92" s="44" t="s">
        <v>352</v>
      </c>
      <c r="L92" s="87">
        <f>M92+N92+O92+P92</f>
        <v>0</v>
      </c>
      <c r="M92" s="80"/>
      <c r="N92" s="94"/>
      <c r="O92" s="80"/>
      <c r="P92" s="80"/>
      <c r="Q92" s="10"/>
      <c r="R92" s="10"/>
    </row>
    <row r="93" spans="1:18" s="30" customFormat="1" ht="18.75">
      <c r="A93" s="22">
        <v>59</v>
      </c>
      <c r="B93" s="33" t="s">
        <v>157</v>
      </c>
      <c r="C93" s="34"/>
      <c r="D93" s="34"/>
      <c r="E93" s="34"/>
      <c r="F93" s="34"/>
      <c r="G93" s="34"/>
      <c r="H93" s="34"/>
      <c r="I93" s="34"/>
      <c r="J93" s="35"/>
      <c r="K93" s="44" t="s">
        <v>310</v>
      </c>
      <c r="L93" s="91">
        <f>SUM(L43:L92)-L82</f>
        <v>36158381.81</v>
      </c>
      <c r="M93" s="90">
        <f>SUM(M43:M92)-M82</f>
        <v>9153332.989999998</v>
      </c>
      <c r="N93" s="90">
        <f>SUM(N43:N92)-N82</f>
        <v>8902951.180000002</v>
      </c>
      <c r="O93" s="90">
        <f>SUM(O43:O92)-O82</f>
        <v>8976048.82</v>
      </c>
      <c r="P93" s="90">
        <f>SUM(P43:P92)-P82</f>
        <v>9126048.820000002</v>
      </c>
      <c r="Q93" s="10"/>
      <c r="R93" s="10"/>
    </row>
    <row r="94" spans="1:18" s="30" customFormat="1" ht="18.75">
      <c r="A94" s="22">
        <v>60</v>
      </c>
      <c r="B94" s="23" t="s">
        <v>158</v>
      </c>
      <c r="C94" s="40">
        <v>390</v>
      </c>
      <c r="D94" s="29">
        <f>SUM(D95:D98)</f>
        <v>0</v>
      </c>
      <c r="E94" s="29">
        <f>SUM(E95:E98)</f>
        <v>0</v>
      </c>
      <c r="F94" s="109">
        <f aca="true" t="shared" si="15" ref="F94:F103">SUM(G94:J94)</f>
        <v>187.494</v>
      </c>
      <c r="G94" s="109">
        <f>SUM(G95:G98)</f>
        <v>175.494</v>
      </c>
      <c r="H94" s="109">
        <f>SUM(H95:H98)</f>
        <v>4</v>
      </c>
      <c r="I94" s="109">
        <f>SUM(I95:I98)</f>
        <v>4</v>
      </c>
      <c r="J94" s="109">
        <f>SUM(J95:J98)</f>
        <v>4</v>
      </c>
      <c r="K94" s="44" t="s">
        <v>311</v>
      </c>
      <c r="L94" s="91">
        <f>M94+N94+O94+P94</f>
        <v>36158381.81</v>
      </c>
      <c r="M94" s="91">
        <f>8406951.18+20887.81+172494+3000+M40</f>
        <v>9153332.99</v>
      </c>
      <c r="N94" s="91">
        <f>8406951.18+4000+N40</f>
        <v>8902951.18</v>
      </c>
      <c r="O94" s="91">
        <f>8418048.82+4000+O40</f>
        <v>8976048.82</v>
      </c>
      <c r="P94" s="91">
        <f>8418048.82+4000+P40</f>
        <v>9126048.82</v>
      </c>
      <c r="Q94" s="89"/>
      <c r="R94" s="10"/>
    </row>
    <row r="95" spans="1:18" s="30" customFormat="1" ht="18.75">
      <c r="A95" s="22">
        <v>61</v>
      </c>
      <c r="B95" s="26" t="s">
        <v>307</v>
      </c>
      <c r="C95" s="41">
        <v>391</v>
      </c>
      <c r="D95" s="25"/>
      <c r="E95" s="25"/>
      <c r="F95" s="107">
        <f t="shared" si="15"/>
        <v>0</v>
      </c>
      <c r="G95" s="107"/>
      <c r="H95" s="107"/>
      <c r="I95" s="107"/>
      <c r="J95" s="107"/>
      <c r="K95" s="44" t="s">
        <v>312</v>
      </c>
      <c r="L95" s="91">
        <f>L94-L93</f>
        <v>0</v>
      </c>
      <c r="M95" s="93">
        <f>M94-M93</f>
        <v>0</v>
      </c>
      <c r="N95" s="92">
        <f>N94-N93</f>
        <v>0</v>
      </c>
      <c r="O95" s="93">
        <f>O94-O93</f>
        <v>0</v>
      </c>
      <c r="P95" s="92">
        <f>P94-P93</f>
        <v>0</v>
      </c>
      <c r="Q95" s="89"/>
      <c r="R95" s="10"/>
    </row>
    <row r="96" spans="1:18" s="30" customFormat="1" ht="18.75">
      <c r="A96" s="22">
        <v>62</v>
      </c>
      <c r="B96" s="26" t="s">
        <v>353</v>
      </c>
      <c r="C96" s="41">
        <v>392</v>
      </c>
      <c r="D96" s="25"/>
      <c r="E96" s="25"/>
      <c r="F96" s="107">
        <f t="shared" si="15"/>
        <v>172.494</v>
      </c>
      <c r="G96" s="107">
        <f>172494/1000</f>
        <v>172.494</v>
      </c>
      <c r="H96" s="107">
        <v>0</v>
      </c>
      <c r="I96" s="107">
        <v>0</v>
      </c>
      <c r="J96" s="107">
        <v>0</v>
      </c>
      <c r="K96" s="44"/>
      <c r="L96" s="87"/>
      <c r="M96" s="80"/>
      <c r="N96" s="80"/>
      <c r="O96" s="80"/>
      <c r="P96" s="80"/>
      <c r="Q96" s="89"/>
      <c r="R96" s="10"/>
    </row>
    <row r="97" spans="1:18" s="30" customFormat="1" ht="18.75">
      <c r="A97" s="22">
        <v>63</v>
      </c>
      <c r="B97" s="26" t="s">
        <v>161</v>
      </c>
      <c r="C97" s="41">
        <v>393</v>
      </c>
      <c r="D97" s="25"/>
      <c r="E97" s="25"/>
      <c r="F97" s="107">
        <f t="shared" si="15"/>
        <v>15</v>
      </c>
      <c r="G97" s="107">
        <f>3000/1000</f>
        <v>3</v>
      </c>
      <c r="H97" s="107">
        <f>4000/1000</f>
        <v>4</v>
      </c>
      <c r="I97" s="107">
        <f>4000/1000</f>
        <v>4</v>
      </c>
      <c r="J97" s="107">
        <f>4000/1000</f>
        <v>4</v>
      </c>
      <c r="K97" s="82"/>
      <c r="L97" s="81">
        <f>M97+N97+O97+P97</f>
        <v>15000</v>
      </c>
      <c r="M97" s="184">
        <v>3000</v>
      </c>
      <c r="N97" s="184">
        <v>4000</v>
      </c>
      <c r="O97" s="184">
        <v>4000</v>
      </c>
      <c r="P97" s="184">
        <v>4000</v>
      </c>
      <c r="Q97" s="89"/>
      <c r="R97" s="10"/>
    </row>
    <row r="98" spans="1:18" s="30" customFormat="1" ht="18.75">
      <c r="A98" s="22">
        <v>64</v>
      </c>
      <c r="B98" s="23" t="s">
        <v>424</v>
      </c>
      <c r="C98" s="40">
        <v>400</v>
      </c>
      <c r="D98" s="25"/>
      <c r="E98" s="25"/>
      <c r="F98" s="107">
        <f t="shared" si="15"/>
        <v>0</v>
      </c>
      <c r="G98" s="107">
        <v>0</v>
      </c>
      <c r="H98" s="107">
        <v>0</v>
      </c>
      <c r="I98" s="107">
        <v>0</v>
      </c>
      <c r="J98" s="107"/>
      <c r="K98" s="44"/>
      <c r="L98" s="88"/>
      <c r="M98" s="88"/>
      <c r="N98" s="88"/>
      <c r="O98" s="88"/>
      <c r="P98" s="88"/>
      <c r="Q98" s="89"/>
      <c r="R98" s="10"/>
    </row>
    <row r="99" spans="1:18" s="30" customFormat="1" ht="22.5" customHeight="1">
      <c r="A99" s="22">
        <v>65</v>
      </c>
      <c r="B99" s="23" t="s">
        <v>162</v>
      </c>
      <c r="C99" s="40">
        <v>410</v>
      </c>
      <c r="D99" s="29">
        <f>SUM(D100:D103)</f>
        <v>0</v>
      </c>
      <c r="E99" s="29">
        <f>SUM(E100:E103)</f>
        <v>0</v>
      </c>
      <c r="F99" s="109">
        <f t="shared" si="15"/>
        <v>0</v>
      </c>
      <c r="G99" s="109">
        <f>SUM(G100:G103)</f>
        <v>0</v>
      </c>
      <c r="H99" s="109">
        <f>SUM(H100:H103)</f>
        <v>0</v>
      </c>
      <c r="I99" s="109">
        <f>SUM(I100:I103)</f>
        <v>0</v>
      </c>
      <c r="J99" s="109">
        <f>SUM(J100:J103)</f>
        <v>0</v>
      </c>
      <c r="K99" s="44"/>
      <c r="L99" s="171" t="s">
        <v>288</v>
      </c>
      <c r="M99" s="2" t="s">
        <v>289</v>
      </c>
      <c r="N99" s="2" t="s">
        <v>290</v>
      </c>
      <c r="O99" s="10"/>
      <c r="P99" s="10"/>
      <c r="Q99" s="10"/>
      <c r="R99" s="10"/>
    </row>
    <row r="100" spans="1:18" s="30" customFormat="1" ht="18.75">
      <c r="A100" s="22">
        <v>66</v>
      </c>
      <c r="B100" s="26" t="s">
        <v>159</v>
      </c>
      <c r="C100" s="41">
        <v>411</v>
      </c>
      <c r="D100" s="25"/>
      <c r="E100" s="25"/>
      <c r="F100" s="107">
        <f t="shared" si="15"/>
        <v>0</v>
      </c>
      <c r="G100" s="107"/>
      <c r="H100" s="107"/>
      <c r="I100" s="107"/>
      <c r="J100" s="107"/>
      <c r="K100" s="44"/>
      <c r="L100" s="182">
        <v>1486391.61</v>
      </c>
      <c r="M100" s="83">
        <f>L100+E95-E101</f>
        <v>1486391.61</v>
      </c>
      <c r="N100" s="83">
        <f>M100+F95-F101</f>
        <v>1486391.61</v>
      </c>
      <c r="O100" s="10"/>
      <c r="P100" s="10"/>
      <c r="Q100" s="10"/>
      <c r="R100" s="10"/>
    </row>
    <row r="101" spans="1:18" s="30" customFormat="1" ht="18.75">
      <c r="A101" s="22">
        <v>67</v>
      </c>
      <c r="B101" s="26" t="s">
        <v>160</v>
      </c>
      <c r="C101" s="41">
        <v>412</v>
      </c>
      <c r="D101" s="25"/>
      <c r="E101" s="25"/>
      <c r="F101" s="107">
        <f t="shared" si="15"/>
        <v>0</v>
      </c>
      <c r="G101" s="107"/>
      <c r="H101" s="107"/>
      <c r="I101" s="107"/>
      <c r="J101" s="107"/>
      <c r="K101" s="44"/>
      <c r="L101" s="89"/>
      <c r="M101" s="10"/>
      <c r="N101" s="10"/>
      <c r="O101" s="10"/>
      <c r="P101" s="10"/>
      <c r="Q101" s="10"/>
      <c r="R101" s="10"/>
    </row>
    <row r="102" spans="1:18" s="30" customFormat="1" ht="18.75">
      <c r="A102" s="22">
        <v>68</v>
      </c>
      <c r="B102" s="26" t="s">
        <v>161</v>
      </c>
      <c r="C102" s="41">
        <v>413</v>
      </c>
      <c r="D102" s="25"/>
      <c r="E102" s="25"/>
      <c r="F102" s="107">
        <f t="shared" si="15"/>
        <v>0</v>
      </c>
      <c r="G102" s="107"/>
      <c r="H102" s="107"/>
      <c r="I102" s="107"/>
      <c r="J102" s="107"/>
      <c r="K102" s="44"/>
      <c r="L102" s="89" t="s">
        <v>435</v>
      </c>
      <c r="M102" s="10"/>
      <c r="N102" s="10"/>
      <c r="O102" s="10"/>
      <c r="P102" s="10"/>
      <c r="Q102" s="10"/>
      <c r="R102" s="10"/>
    </row>
    <row r="103" spans="1:18" s="30" customFormat="1" ht="18.75">
      <c r="A103" s="22">
        <v>69</v>
      </c>
      <c r="B103" s="23" t="s">
        <v>133</v>
      </c>
      <c r="C103" s="40">
        <v>420</v>
      </c>
      <c r="D103" s="25"/>
      <c r="E103" s="25"/>
      <c r="F103" s="107">
        <f t="shared" si="15"/>
        <v>0</v>
      </c>
      <c r="G103" s="107"/>
      <c r="H103" s="107"/>
      <c r="I103" s="107"/>
      <c r="J103" s="107"/>
      <c r="K103" s="44"/>
      <c r="L103" s="89" t="s">
        <v>436</v>
      </c>
      <c r="M103" s="10"/>
      <c r="N103" s="10"/>
      <c r="O103" s="10"/>
      <c r="P103" s="10"/>
      <c r="Q103" s="10"/>
      <c r="R103" s="10"/>
    </row>
    <row r="104" spans="1:25" ht="18.75">
      <c r="A104" s="22">
        <v>70</v>
      </c>
      <c r="B104" s="21" t="s">
        <v>163</v>
      </c>
      <c r="C104" s="42">
        <v>500</v>
      </c>
      <c r="D104" s="43">
        <f>SUM(D35+D36+D37+D72+D84+D94)</f>
        <v>0</v>
      </c>
      <c r="E104" s="43">
        <f>SUM(E35+E36+E37+E72+E84+E94)</f>
        <v>0</v>
      </c>
      <c r="F104" s="114">
        <f>SUM(G104:J104)</f>
        <v>36158.381810000006</v>
      </c>
      <c r="G104" s="114">
        <f>G35+G36+G37</f>
        <v>9153.33299</v>
      </c>
      <c r="H104" s="114">
        <f>H35+H36+H37</f>
        <v>8902.951180000002</v>
      </c>
      <c r="I104" s="114">
        <f>I35+I36+I37</f>
        <v>8976.04882</v>
      </c>
      <c r="J104" s="114">
        <f>J35+J36+J37</f>
        <v>9126.04882</v>
      </c>
      <c r="K104" s="44"/>
      <c r="L104" s="89" t="s">
        <v>437</v>
      </c>
      <c r="M104" s="10"/>
      <c r="N104" s="10"/>
      <c r="O104" s="10"/>
      <c r="P104" s="10"/>
      <c r="Q104" s="10"/>
      <c r="R104" s="10"/>
      <c r="S104" s="30"/>
      <c r="T104" s="30"/>
      <c r="U104" s="30"/>
      <c r="V104" s="30"/>
      <c r="W104" s="30"/>
      <c r="X104" s="30"/>
      <c r="Y104" s="30"/>
    </row>
    <row r="105" spans="1:25" ht="18.75">
      <c r="A105" s="22">
        <v>71</v>
      </c>
      <c r="B105" s="21" t="s">
        <v>164</v>
      </c>
      <c r="C105" s="42">
        <v>600</v>
      </c>
      <c r="D105" s="43">
        <f>D42+D45+D46+D52+D53+D56+D58+D59+D60+D86+D99</f>
        <v>0</v>
      </c>
      <c r="E105" s="43">
        <f>E42+E45+E46+E52+E53+E56+E58+E59+E60+E86+E99</f>
        <v>0</v>
      </c>
      <c r="F105" s="114">
        <f>SUM(G105:J105)</f>
        <v>-35658.38181</v>
      </c>
      <c r="G105" s="114">
        <f>G82+G86</f>
        <v>-9032.44518</v>
      </c>
      <c r="H105" s="114">
        <f>H82+H86</f>
        <v>-8802.95118</v>
      </c>
      <c r="I105" s="114">
        <f>I82+I86</f>
        <v>-8876.04882</v>
      </c>
      <c r="J105" s="114">
        <f>J82+J86</f>
        <v>-8946.936630000002</v>
      </c>
      <c r="K105" s="44"/>
      <c r="L105" s="89" t="s">
        <v>438</v>
      </c>
      <c r="M105" s="10"/>
      <c r="N105" s="10"/>
      <c r="O105" s="10"/>
      <c r="P105" s="10"/>
      <c r="Q105" s="10"/>
      <c r="R105" s="10"/>
      <c r="S105" s="30"/>
      <c r="T105" s="30"/>
      <c r="U105" s="30"/>
      <c r="V105" s="30"/>
      <c r="W105" s="30"/>
      <c r="X105" s="30"/>
      <c r="Y105" s="30"/>
    </row>
    <row r="106" spans="1:25" ht="18.75">
      <c r="A106" s="22">
        <v>72</v>
      </c>
      <c r="B106" s="23" t="s">
        <v>165</v>
      </c>
      <c r="C106" s="24">
        <v>650</v>
      </c>
      <c r="D106" s="25"/>
      <c r="E106" s="25"/>
      <c r="F106" s="106">
        <f>SUM(G106:J106)</f>
        <v>500</v>
      </c>
      <c r="G106" s="107">
        <f>G104+G105</f>
        <v>120.88781000000017</v>
      </c>
      <c r="H106" s="107">
        <f>H104+H105</f>
        <v>100.00000000000182</v>
      </c>
      <c r="I106" s="107">
        <f>I104+I105</f>
        <v>100</v>
      </c>
      <c r="J106" s="107">
        <f>J104+J105</f>
        <v>179.112189999998</v>
      </c>
      <c r="K106" s="44"/>
      <c r="L106" s="89" t="s">
        <v>439</v>
      </c>
      <c r="M106" s="10"/>
      <c r="N106" s="10"/>
      <c r="O106" s="10"/>
      <c r="P106" s="10"/>
      <c r="Q106" s="10"/>
      <c r="R106" s="10"/>
      <c r="S106" s="30"/>
      <c r="T106" s="30"/>
      <c r="U106" s="30"/>
      <c r="V106" s="30"/>
      <c r="W106" s="30"/>
      <c r="X106" s="30"/>
      <c r="Y106" s="30"/>
    </row>
    <row r="107" spans="1:23" ht="18.75">
      <c r="A107" s="22">
        <v>73</v>
      </c>
      <c r="B107" s="430" t="s">
        <v>166</v>
      </c>
      <c r="C107" s="426"/>
      <c r="D107" s="34"/>
      <c r="E107" s="34"/>
      <c r="F107" s="115" t="s">
        <v>167</v>
      </c>
      <c r="G107" s="115" t="s">
        <v>168</v>
      </c>
      <c r="H107" s="115" t="s">
        <v>169</v>
      </c>
      <c r="I107" s="115" t="s">
        <v>170</v>
      </c>
      <c r="J107" s="115" t="s">
        <v>171</v>
      </c>
      <c r="K107" s="44"/>
      <c r="L107" s="183"/>
      <c r="M107" s="10"/>
      <c r="N107" s="10"/>
      <c r="O107" s="79" t="s">
        <v>306</v>
      </c>
      <c r="P107" s="10"/>
      <c r="Q107" s="10"/>
      <c r="R107" s="10"/>
      <c r="S107" s="30"/>
      <c r="T107" s="30"/>
      <c r="U107" s="30"/>
      <c r="V107" s="30"/>
      <c r="W107" s="30"/>
    </row>
    <row r="108" spans="1:23" ht="18.75">
      <c r="A108" s="22">
        <v>74</v>
      </c>
      <c r="B108" s="23" t="s">
        <v>172</v>
      </c>
      <c r="C108" s="24">
        <v>700</v>
      </c>
      <c r="D108" s="25"/>
      <c r="E108" s="25"/>
      <c r="F108" s="107">
        <v>227</v>
      </c>
      <c r="G108" s="107">
        <v>227</v>
      </c>
      <c r="H108" s="107">
        <v>227</v>
      </c>
      <c r="I108" s="107">
        <v>227</v>
      </c>
      <c r="J108" s="107">
        <v>227</v>
      </c>
      <c r="K108" s="44"/>
      <c r="L108" s="79" t="s">
        <v>291</v>
      </c>
      <c r="M108" s="11" t="s">
        <v>304</v>
      </c>
      <c r="N108" s="11" t="s">
        <v>305</v>
      </c>
      <c r="O108" s="11" t="s">
        <v>304</v>
      </c>
      <c r="P108" s="11" t="s">
        <v>305</v>
      </c>
      <c r="Q108" s="10"/>
      <c r="R108" s="10"/>
      <c r="S108" s="30"/>
      <c r="T108" s="30"/>
      <c r="U108" s="30"/>
      <c r="V108" s="30"/>
      <c r="W108" s="30"/>
    </row>
    <row r="109" spans="1:18" ht="18.75">
      <c r="A109" s="22">
        <v>75</v>
      </c>
      <c r="B109" s="23" t="s">
        <v>173</v>
      </c>
      <c r="C109" s="24">
        <v>710</v>
      </c>
      <c r="D109" s="25"/>
      <c r="E109" s="25"/>
      <c r="F109" s="111">
        <v>5451.57</v>
      </c>
      <c r="G109" s="111">
        <v>5451.57</v>
      </c>
      <c r="H109" s="111">
        <v>5451.57</v>
      </c>
      <c r="I109" s="111">
        <v>5451.57</v>
      </c>
      <c r="J109" s="111">
        <f>I109</f>
        <v>5451.57</v>
      </c>
      <c r="K109" s="44"/>
      <c r="L109" s="89" t="s">
        <v>292</v>
      </c>
      <c r="M109" s="84">
        <v>2802317.06</v>
      </c>
      <c r="N109" s="429">
        <f>SUM(M109:M111)</f>
        <v>8406951.18</v>
      </c>
      <c r="O109" s="84">
        <v>172494</v>
      </c>
      <c r="P109" s="429">
        <f>SUM(O109:O111)</f>
        <v>172494</v>
      </c>
      <c r="Q109" s="86"/>
      <c r="R109" s="10"/>
    </row>
    <row r="110" spans="1:18" ht="18.75">
      <c r="A110" s="22">
        <v>76</v>
      </c>
      <c r="B110" s="23" t="s">
        <v>174</v>
      </c>
      <c r="C110" s="24">
        <v>720</v>
      </c>
      <c r="D110" s="25"/>
      <c r="E110" s="25"/>
      <c r="F110" s="111"/>
      <c r="G110" s="111"/>
      <c r="H110" s="111"/>
      <c r="I110" s="111">
        <v>0</v>
      </c>
      <c r="J110" s="111">
        <v>0</v>
      </c>
      <c r="K110" s="44"/>
      <c r="L110" s="89" t="s">
        <v>293</v>
      </c>
      <c r="M110" s="84">
        <v>2802317.06</v>
      </c>
      <c r="N110" s="429"/>
      <c r="O110" s="84"/>
      <c r="P110" s="429"/>
      <c r="Q110" s="86"/>
      <c r="R110" s="86"/>
    </row>
    <row r="111" spans="1:18" ht="18.75">
      <c r="A111" s="22">
        <v>77</v>
      </c>
      <c r="B111" s="23" t="s">
        <v>175</v>
      </c>
      <c r="C111" s="24">
        <v>730</v>
      </c>
      <c r="D111" s="25"/>
      <c r="E111" s="25"/>
      <c r="F111" s="111"/>
      <c r="G111" s="111"/>
      <c r="H111" s="111"/>
      <c r="I111" s="111">
        <v>0</v>
      </c>
      <c r="J111" s="111">
        <v>0</v>
      </c>
      <c r="K111" s="44"/>
      <c r="L111" s="89" t="s">
        <v>294</v>
      </c>
      <c r="M111" s="84">
        <v>2802317.06</v>
      </c>
      <c r="N111" s="429"/>
      <c r="O111" s="84"/>
      <c r="P111" s="429"/>
      <c r="Q111" s="86"/>
      <c r="R111" s="86"/>
    </row>
    <row r="112" spans="2:18" ht="18.75">
      <c r="B112" s="15"/>
      <c r="C112" s="45"/>
      <c r="D112" s="46"/>
      <c r="E112" s="46"/>
      <c r="F112" s="116"/>
      <c r="G112" s="116"/>
      <c r="H112" s="116"/>
      <c r="I112" s="116"/>
      <c r="J112" s="116"/>
      <c r="K112" s="44"/>
      <c r="L112" s="89" t="s">
        <v>295</v>
      </c>
      <c r="M112" s="84">
        <v>2802317.06</v>
      </c>
      <c r="N112" s="429">
        <f>SUM(M112:M114)</f>
        <v>8406951.18</v>
      </c>
      <c r="O112" s="84"/>
      <c r="P112" s="429">
        <f>SUM(O112:O114)</f>
        <v>0</v>
      </c>
      <c r="Q112" s="86"/>
      <c r="R112" s="86"/>
    </row>
    <row r="113" spans="2:18" ht="18.75">
      <c r="B113" s="15"/>
      <c r="D113" s="47"/>
      <c r="E113" s="48"/>
      <c r="F113" s="117"/>
      <c r="G113" s="117"/>
      <c r="H113" s="117"/>
      <c r="I113" s="117"/>
      <c r="J113" s="117"/>
      <c r="K113" s="44"/>
      <c r="L113" s="89" t="s">
        <v>296</v>
      </c>
      <c r="M113" s="84">
        <v>2802317.06</v>
      </c>
      <c r="N113" s="429"/>
      <c r="O113" s="84"/>
      <c r="P113" s="429"/>
      <c r="Q113" s="86"/>
      <c r="R113" s="86"/>
    </row>
    <row r="114" spans="2:18" ht="18.75">
      <c r="B114" s="49" t="s">
        <v>445</v>
      </c>
      <c r="C114" s="45"/>
      <c r="D114" s="433" t="s">
        <v>176</v>
      </c>
      <c r="E114" s="433"/>
      <c r="F114" s="433"/>
      <c r="G114" s="118"/>
      <c r="H114" s="434" t="s">
        <v>446</v>
      </c>
      <c r="I114" s="434"/>
      <c r="J114" s="434"/>
      <c r="K114" s="44"/>
      <c r="L114" s="89" t="s">
        <v>297</v>
      </c>
      <c r="M114" s="84">
        <v>2802317.06</v>
      </c>
      <c r="N114" s="429"/>
      <c r="O114" s="84"/>
      <c r="P114" s="429"/>
      <c r="Q114" s="86"/>
      <c r="R114" s="10"/>
    </row>
    <row r="115" spans="2:25" s="52" customFormat="1" ht="18.75">
      <c r="B115" s="50" t="s">
        <v>177</v>
      </c>
      <c r="C115" s="51"/>
      <c r="D115" s="435" t="s">
        <v>178</v>
      </c>
      <c r="E115" s="435"/>
      <c r="F115" s="435"/>
      <c r="G115" s="119"/>
      <c r="H115" s="436" t="s">
        <v>179</v>
      </c>
      <c r="I115" s="436"/>
      <c r="J115" s="436"/>
      <c r="K115" s="44"/>
      <c r="L115" s="89" t="s">
        <v>298</v>
      </c>
      <c r="M115" s="84">
        <v>2802317.06</v>
      </c>
      <c r="N115" s="429">
        <f>SUM(M115:M117)</f>
        <v>8418048.82</v>
      </c>
      <c r="O115" s="84"/>
      <c r="P115" s="429">
        <f>SUM(O115:O117)</f>
        <v>0</v>
      </c>
      <c r="Q115" s="86"/>
      <c r="R115" s="12"/>
      <c r="S115" s="12"/>
      <c r="T115" s="12"/>
      <c r="U115" s="12"/>
      <c r="V115" s="12"/>
      <c r="W115" s="12"/>
      <c r="X115" s="12"/>
      <c r="Y115" s="12"/>
    </row>
    <row r="116" spans="2:18" ht="18.75">
      <c r="B116" s="15"/>
      <c r="D116" s="47"/>
      <c r="E116" s="48"/>
      <c r="F116" s="117"/>
      <c r="G116" s="117"/>
      <c r="H116" s="117"/>
      <c r="I116" s="117"/>
      <c r="J116" s="117"/>
      <c r="K116" s="44"/>
      <c r="L116" s="89" t="s">
        <v>299</v>
      </c>
      <c r="M116" s="84">
        <v>2802317.06</v>
      </c>
      <c r="N116" s="429"/>
      <c r="O116" s="84"/>
      <c r="P116" s="429"/>
      <c r="Q116" s="86"/>
      <c r="R116" s="86"/>
    </row>
    <row r="117" spans="2:17" ht="18.75">
      <c r="B117" s="15"/>
      <c r="D117" s="47"/>
      <c r="E117" s="48"/>
      <c r="F117" s="117"/>
      <c r="G117" s="117"/>
      <c r="H117" s="117"/>
      <c r="I117" s="117"/>
      <c r="J117" s="117"/>
      <c r="K117" s="44"/>
      <c r="L117" s="89" t="s">
        <v>300</v>
      </c>
      <c r="M117" s="84">
        <f>2802317.2+11097.5</f>
        <v>2813414.7</v>
      </c>
      <c r="N117" s="429"/>
      <c r="O117" s="84"/>
      <c r="P117" s="429"/>
      <c r="Q117" s="86"/>
    </row>
    <row r="118" spans="2:25" ht="18.75">
      <c r="B118" s="15"/>
      <c r="D118" s="47"/>
      <c r="E118" s="48"/>
      <c r="F118" s="117"/>
      <c r="G118" s="117"/>
      <c r="H118" s="117"/>
      <c r="I118" s="117"/>
      <c r="J118" s="117"/>
      <c r="L118" s="89" t="s">
        <v>301</v>
      </c>
      <c r="M118" s="84">
        <v>2802317.06</v>
      </c>
      <c r="N118" s="429">
        <f>SUM(M118:M120)</f>
        <v>8418048.82</v>
      </c>
      <c r="O118" s="84"/>
      <c r="P118" s="429">
        <f>SUM(O118:O120)</f>
        <v>0</v>
      </c>
      <c r="Q118" s="86"/>
      <c r="X118" s="52"/>
      <c r="Y118" s="52"/>
    </row>
    <row r="119" spans="2:18" ht="18.75">
      <c r="B119" s="15"/>
      <c r="D119" s="47"/>
      <c r="E119" s="48"/>
      <c r="F119" s="117"/>
      <c r="G119" s="117"/>
      <c r="H119" s="117"/>
      <c r="I119" s="117"/>
      <c r="J119" s="117"/>
      <c r="L119" s="89" t="s">
        <v>302</v>
      </c>
      <c r="M119" s="84">
        <v>2802317.06</v>
      </c>
      <c r="N119" s="429"/>
      <c r="O119" s="84"/>
      <c r="P119" s="429"/>
      <c r="Q119" s="86"/>
      <c r="R119" s="86"/>
    </row>
    <row r="120" spans="2:23" ht="18.75">
      <c r="B120" s="15"/>
      <c r="D120" s="47"/>
      <c r="E120" s="48"/>
      <c r="F120" s="117"/>
      <c r="G120" s="117"/>
      <c r="H120" s="117"/>
      <c r="I120" s="117"/>
      <c r="J120" s="117"/>
      <c r="K120" s="52"/>
      <c r="L120" s="89" t="s">
        <v>303</v>
      </c>
      <c r="M120" s="84">
        <f>2802317.2+11097.5</f>
        <v>2813414.7</v>
      </c>
      <c r="N120" s="429"/>
      <c r="O120" s="84"/>
      <c r="P120" s="429"/>
      <c r="Q120" s="86"/>
      <c r="S120" s="52"/>
      <c r="T120" s="52"/>
      <c r="U120" s="52"/>
      <c r="V120" s="52"/>
      <c r="W120" s="52"/>
    </row>
    <row r="121" spans="2:18" ht="18.75">
      <c r="B121" s="15"/>
      <c r="D121" s="47"/>
      <c r="E121" s="48"/>
      <c r="F121" s="117"/>
      <c r="G121" s="117"/>
      <c r="H121" s="117"/>
      <c r="I121" s="117"/>
      <c r="J121" s="117"/>
      <c r="M121" s="85">
        <f>SUM(M109:M120)</f>
        <v>33649999.99999999</v>
      </c>
      <c r="O121" s="85">
        <f>SUM(O109:O120)</f>
        <v>172494</v>
      </c>
      <c r="Q121" s="85">
        <f>SUM(Q109:Q120)</f>
        <v>0</v>
      </c>
      <c r="R121" s="85">
        <f>SUM(R109:R120)</f>
        <v>0</v>
      </c>
    </row>
    <row r="122" spans="2:10" ht="18.75">
      <c r="B122" s="15"/>
      <c r="D122" s="47"/>
      <c r="E122" s="48"/>
      <c r="F122" s="117"/>
      <c r="G122" s="117"/>
      <c r="H122" s="117"/>
      <c r="I122" s="117"/>
      <c r="J122" s="117"/>
    </row>
    <row r="123" spans="2:18" ht="18.75">
      <c r="B123" s="15"/>
      <c r="D123" s="47"/>
      <c r="E123" s="48"/>
      <c r="F123" s="117"/>
      <c r="G123" s="117"/>
      <c r="H123" s="117"/>
      <c r="I123" s="117"/>
      <c r="J123" s="117"/>
      <c r="L123" s="22" t="s">
        <v>309</v>
      </c>
      <c r="Q123" s="52"/>
      <c r="R123" s="52"/>
    </row>
    <row r="124" spans="2:13" ht="18.75">
      <c r="B124" s="15"/>
      <c r="D124" s="47"/>
      <c r="E124" s="48"/>
      <c r="F124" s="117"/>
      <c r="G124" s="117"/>
      <c r="H124" s="117"/>
      <c r="I124" s="117"/>
      <c r="J124" s="117"/>
      <c r="M124" s="86">
        <f>M121+O121</f>
        <v>33822493.99999999</v>
      </c>
    </row>
    <row r="125" spans="2:10" ht="18.75">
      <c r="B125" s="15"/>
      <c r="D125" s="47"/>
      <c r="E125" s="48"/>
      <c r="F125" s="117"/>
      <c r="G125" s="117"/>
      <c r="H125" s="117"/>
      <c r="I125" s="117"/>
      <c r="J125" s="117"/>
    </row>
    <row r="126" spans="2:13" ht="30">
      <c r="B126" s="15"/>
      <c r="D126" s="47"/>
      <c r="E126" s="48"/>
      <c r="F126" s="117"/>
      <c r="G126" s="117"/>
      <c r="H126" s="117"/>
      <c r="I126" s="117"/>
      <c r="J126" s="117"/>
      <c r="L126" s="201" t="s">
        <v>434</v>
      </c>
      <c r="M126" s="22">
        <f>15223.17+5664.64</f>
        <v>20887.81</v>
      </c>
    </row>
    <row r="127" spans="2:10" ht="18.75">
      <c r="B127" s="15"/>
      <c r="D127" s="47"/>
      <c r="E127" s="48"/>
      <c r="F127" s="117"/>
      <c r="G127" s="117"/>
      <c r="H127" s="117"/>
      <c r="I127" s="117"/>
      <c r="J127" s="117"/>
    </row>
    <row r="128" spans="2:10" ht="18.75">
      <c r="B128" s="15"/>
      <c r="D128" s="47"/>
      <c r="E128" s="48"/>
      <c r="F128" s="117"/>
      <c r="G128" s="117"/>
      <c r="H128" s="117"/>
      <c r="I128" s="117"/>
      <c r="J128" s="117"/>
    </row>
    <row r="129" spans="2:10" ht="18.75">
      <c r="B129" s="15"/>
      <c r="D129" s="47"/>
      <c r="E129" s="48"/>
      <c r="F129" s="117"/>
      <c r="G129" s="117"/>
      <c r="H129" s="117"/>
      <c r="I129" s="117"/>
      <c r="J129" s="117"/>
    </row>
    <row r="130" spans="2:10" ht="18.75">
      <c r="B130" s="15"/>
      <c r="D130" s="47"/>
      <c r="E130" s="48"/>
      <c r="F130" s="117"/>
      <c r="G130" s="117"/>
      <c r="H130" s="117"/>
      <c r="I130" s="117"/>
      <c r="J130" s="117"/>
    </row>
    <row r="131" spans="2:10" ht="18.75">
      <c r="B131" s="15"/>
      <c r="D131" s="47"/>
      <c r="E131" s="48"/>
      <c r="F131" s="117"/>
      <c r="G131" s="117"/>
      <c r="H131" s="117"/>
      <c r="I131" s="117"/>
      <c r="J131" s="117"/>
    </row>
    <row r="132" spans="2:10" ht="18.75">
      <c r="B132" s="15"/>
      <c r="D132" s="47"/>
      <c r="E132" s="48"/>
      <c r="F132" s="117"/>
      <c r="G132" s="117"/>
      <c r="H132" s="117"/>
      <c r="I132" s="117"/>
      <c r="J132" s="117"/>
    </row>
    <row r="133" spans="2:10" ht="18.75">
      <c r="B133" s="15"/>
      <c r="D133" s="47"/>
      <c r="E133" s="48"/>
      <c r="F133" s="117"/>
      <c r="G133" s="117"/>
      <c r="H133" s="117"/>
      <c r="I133" s="117"/>
      <c r="J133" s="117"/>
    </row>
    <row r="134" spans="2:10" ht="18.75">
      <c r="B134" s="15"/>
      <c r="D134" s="47"/>
      <c r="E134" s="48"/>
      <c r="F134" s="117"/>
      <c r="G134" s="117"/>
      <c r="H134" s="117"/>
      <c r="I134" s="117"/>
      <c r="J134" s="117"/>
    </row>
    <row r="135" spans="2:10" ht="18.75">
      <c r="B135" s="15"/>
      <c r="D135" s="47"/>
      <c r="E135" s="48"/>
      <c r="F135" s="117"/>
      <c r="G135" s="117"/>
      <c r="H135" s="117"/>
      <c r="I135" s="117"/>
      <c r="J135" s="117"/>
    </row>
    <row r="136" spans="2:10" ht="18.75">
      <c r="B136" s="15"/>
      <c r="D136" s="47"/>
      <c r="E136" s="48"/>
      <c r="F136" s="117"/>
      <c r="G136" s="117"/>
      <c r="H136" s="117"/>
      <c r="I136" s="117"/>
      <c r="J136" s="117"/>
    </row>
    <row r="137" spans="2:10" ht="18.75">
      <c r="B137" s="15"/>
      <c r="D137" s="47"/>
      <c r="E137" s="48"/>
      <c r="F137" s="117"/>
      <c r="G137" s="117"/>
      <c r="H137" s="117"/>
      <c r="I137" s="117"/>
      <c r="J137" s="117"/>
    </row>
    <row r="138" spans="2:10" ht="18.75">
      <c r="B138" s="15"/>
      <c r="D138" s="47"/>
      <c r="E138" s="48"/>
      <c r="F138" s="117"/>
      <c r="G138" s="117"/>
      <c r="H138" s="117"/>
      <c r="I138" s="117"/>
      <c r="J138" s="117"/>
    </row>
    <row r="139" spans="2:10" ht="18.75">
      <c r="B139" s="15"/>
      <c r="D139" s="47"/>
      <c r="E139" s="48"/>
      <c r="F139" s="117"/>
      <c r="G139" s="117"/>
      <c r="H139" s="117"/>
      <c r="I139" s="117"/>
      <c r="J139" s="117"/>
    </row>
    <row r="140" spans="2:10" ht="18.75">
      <c r="B140" s="15"/>
      <c r="D140" s="47"/>
      <c r="E140" s="48"/>
      <c r="F140" s="117"/>
      <c r="G140" s="117"/>
      <c r="H140" s="117"/>
      <c r="I140" s="117"/>
      <c r="J140" s="117"/>
    </row>
    <row r="141" spans="2:10" ht="18.75">
      <c r="B141" s="15"/>
      <c r="D141" s="47"/>
      <c r="E141" s="48"/>
      <c r="F141" s="117"/>
      <c r="G141" s="117"/>
      <c r="H141" s="117"/>
      <c r="I141" s="117"/>
      <c r="J141" s="117"/>
    </row>
    <row r="142" spans="2:10" ht="18.75">
      <c r="B142" s="15"/>
      <c r="D142" s="47"/>
      <c r="E142" s="48"/>
      <c r="F142" s="117"/>
      <c r="G142" s="117"/>
      <c r="H142" s="117"/>
      <c r="I142" s="117"/>
      <c r="J142" s="117"/>
    </row>
    <row r="143" spans="2:10" ht="18.75">
      <c r="B143" s="15"/>
      <c r="D143" s="47"/>
      <c r="E143" s="48"/>
      <c r="F143" s="117"/>
      <c r="G143" s="117"/>
      <c r="H143" s="117"/>
      <c r="I143" s="117"/>
      <c r="J143" s="117"/>
    </row>
    <row r="144" spans="2:10" ht="18.75">
      <c r="B144" s="15"/>
      <c r="D144" s="47"/>
      <c r="E144" s="48"/>
      <c r="F144" s="117"/>
      <c r="G144" s="117"/>
      <c r="H144" s="117"/>
      <c r="I144" s="117"/>
      <c r="J144" s="117"/>
    </row>
    <row r="145" spans="2:10" ht="18.75">
      <c r="B145" s="15"/>
      <c r="D145" s="47"/>
      <c r="E145" s="48"/>
      <c r="F145" s="117"/>
      <c r="G145" s="117"/>
      <c r="H145" s="117"/>
      <c r="I145" s="117"/>
      <c r="J145" s="117"/>
    </row>
    <row r="146" spans="2:10" ht="18.75">
      <c r="B146" s="15"/>
      <c r="D146" s="47"/>
      <c r="E146" s="48"/>
      <c r="F146" s="117"/>
      <c r="G146" s="117"/>
      <c r="H146" s="117"/>
      <c r="I146" s="117"/>
      <c r="J146" s="117"/>
    </row>
    <row r="147" spans="2:10" ht="18.75">
      <c r="B147" s="15"/>
      <c r="D147" s="47"/>
      <c r="E147" s="48"/>
      <c r="F147" s="117"/>
      <c r="G147" s="117"/>
      <c r="H147" s="117"/>
      <c r="I147" s="117"/>
      <c r="J147" s="117"/>
    </row>
    <row r="148" spans="2:10" ht="18.75">
      <c r="B148" s="15"/>
      <c r="D148" s="47"/>
      <c r="E148" s="48"/>
      <c r="F148" s="117"/>
      <c r="G148" s="117"/>
      <c r="H148" s="117"/>
      <c r="I148" s="117"/>
      <c r="J148" s="117"/>
    </row>
    <row r="149" spans="2:10" ht="18.75">
      <c r="B149" s="15"/>
      <c r="D149" s="47"/>
      <c r="E149" s="48"/>
      <c r="F149" s="117"/>
      <c r="G149" s="117"/>
      <c r="H149" s="117"/>
      <c r="I149" s="117"/>
      <c r="J149" s="117"/>
    </row>
    <row r="150" spans="2:10" ht="18.75">
      <c r="B150" s="15"/>
      <c r="D150" s="47"/>
      <c r="E150" s="48"/>
      <c r="F150" s="117"/>
      <c r="G150" s="117"/>
      <c r="H150" s="117"/>
      <c r="I150" s="117"/>
      <c r="J150" s="117"/>
    </row>
    <row r="151" spans="2:10" ht="18.75">
      <c r="B151" s="15"/>
      <c r="D151" s="47"/>
      <c r="E151" s="48"/>
      <c r="F151" s="117"/>
      <c r="G151" s="117"/>
      <c r="H151" s="117"/>
      <c r="I151" s="117"/>
      <c r="J151" s="117"/>
    </row>
    <row r="152" spans="2:10" ht="18.75">
      <c r="B152" s="15"/>
      <c r="D152" s="47"/>
      <c r="E152" s="48"/>
      <c r="F152" s="117"/>
      <c r="G152" s="117"/>
      <c r="H152" s="117"/>
      <c r="I152" s="117"/>
      <c r="J152" s="117"/>
    </row>
    <row r="153" spans="2:10" ht="18.75">
      <c r="B153" s="15"/>
      <c r="D153" s="47"/>
      <c r="E153" s="48"/>
      <c r="F153" s="117"/>
      <c r="G153" s="117"/>
      <c r="H153" s="117"/>
      <c r="I153" s="117"/>
      <c r="J153" s="117"/>
    </row>
    <row r="154" spans="2:10" ht="18.75">
      <c r="B154" s="15"/>
      <c r="D154" s="47"/>
      <c r="E154" s="48"/>
      <c r="F154" s="117"/>
      <c r="G154" s="117"/>
      <c r="H154" s="117"/>
      <c r="I154" s="117"/>
      <c r="J154" s="117"/>
    </row>
    <row r="155" spans="2:10" ht="18.75">
      <c r="B155" s="15"/>
      <c r="D155" s="47"/>
      <c r="E155" s="48"/>
      <c r="F155" s="117"/>
      <c r="G155" s="117"/>
      <c r="H155" s="117"/>
      <c r="I155" s="117"/>
      <c r="J155" s="117"/>
    </row>
    <row r="156" spans="2:10" ht="18.75">
      <c r="B156" s="15"/>
      <c r="D156" s="47"/>
      <c r="E156" s="48"/>
      <c r="F156" s="117"/>
      <c r="G156" s="117"/>
      <c r="H156" s="117"/>
      <c r="I156" s="117"/>
      <c r="J156" s="117"/>
    </row>
    <row r="157" ht="18.75">
      <c r="B157" s="53"/>
    </row>
    <row r="158" ht="18.75">
      <c r="B158" s="53"/>
    </row>
    <row r="159" ht="18.75">
      <c r="B159" s="53"/>
    </row>
    <row r="160" ht="18.75">
      <c r="B160" s="53"/>
    </row>
    <row r="161" spans="2:25" s="13" customFormat="1" ht="18.75">
      <c r="B161" s="53"/>
      <c r="F161" s="120"/>
      <c r="G161" s="120"/>
      <c r="H161" s="120"/>
      <c r="I161" s="120"/>
      <c r="J161" s="120"/>
      <c r="K161" s="12"/>
      <c r="L161" s="22"/>
      <c r="M161" s="12"/>
      <c r="N161" s="12"/>
      <c r="O161" s="12"/>
      <c r="P161" s="12"/>
      <c r="Q161" s="12"/>
      <c r="R161" s="12"/>
      <c r="S161" s="12"/>
      <c r="T161" s="12"/>
      <c r="U161" s="12"/>
      <c r="V161" s="12"/>
      <c r="W161" s="12"/>
      <c r="X161" s="12"/>
      <c r="Y161" s="12"/>
    </row>
    <row r="162" spans="2:25" s="13" customFormat="1" ht="18.75">
      <c r="B162" s="53"/>
      <c r="F162" s="120"/>
      <c r="G162" s="120"/>
      <c r="H162" s="120"/>
      <c r="I162" s="120"/>
      <c r="J162" s="120"/>
      <c r="K162" s="12"/>
      <c r="L162" s="22"/>
      <c r="M162" s="12"/>
      <c r="N162" s="12"/>
      <c r="O162" s="12"/>
      <c r="P162" s="12"/>
      <c r="Q162" s="12"/>
      <c r="R162" s="12"/>
      <c r="S162" s="12"/>
      <c r="T162" s="12"/>
      <c r="U162" s="12"/>
      <c r="V162" s="12"/>
      <c r="W162" s="12"/>
      <c r="X162" s="12"/>
      <c r="Y162" s="12"/>
    </row>
    <row r="163" spans="2:25" s="13" customFormat="1" ht="18.75">
      <c r="B163" s="53"/>
      <c r="F163" s="120"/>
      <c r="G163" s="120"/>
      <c r="H163" s="120"/>
      <c r="I163" s="120"/>
      <c r="J163" s="120"/>
      <c r="K163" s="12"/>
      <c r="L163" s="22"/>
      <c r="M163" s="12"/>
      <c r="N163" s="12"/>
      <c r="O163" s="12"/>
      <c r="P163" s="12"/>
      <c r="Q163" s="12"/>
      <c r="R163" s="12"/>
      <c r="S163" s="12"/>
      <c r="T163" s="12"/>
      <c r="U163" s="12"/>
      <c r="V163" s="12"/>
      <c r="W163" s="12"/>
      <c r="X163" s="12"/>
      <c r="Y163" s="12"/>
    </row>
    <row r="164" spans="2:23" s="13" customFormat="1" ht="18.75">
      <c r="B164" s="53"/>
      <c r="F164" s="120"/>
      <c r="G164" s="120"/>
      <c r="H164" s="120"/>
      <c r="I164" s="120"/>
      <c r="J164" s="120"/>
      <c r="K164" s="12"/>
      <c r="L164" s="78"/>
      <c r="Q164" s="12"/>
      <c r="R164" s="12"/>
      <c r="S164" s="12"/>
      <c r="T164" s="12"/>
      <c r="U164" s="12"/>
      <c r="V164" s="12"/>
      <c r="W164" s="12"/>
    </row>
    <row r="165" spans="2:23" s="13" customFormat="1" ht="18.75">
      <c r="B165" s="53"/>
      <c r="F165" s="120"/>
      <c r="G165" s="120"/>
      <c r="H165" s="120"/>
      <c r="I165" s="120"/>
      <c r="J165" s="120"/>
      <c r="K165" s="12"/>
      <c r="L165" s="78"/>
      <c r="Q165" s="12"/>
      <c r="R165" s="12"/>
      <c r="S165" s="12"/>
      <c r="T165" s="12"/>
      <c r="U165" s="12"/>
      <c r="V165" s="12"/>
      <c r="W165" s="12"/>
    </row>
    <row r="166" spans="2:18" s="13" customFormat="1" ht="18.75">
      <c r="B166" s="53"/>
      <c r="F166" s="120"/>
      <c r="G166" s="120"/>
      <c r="H166" s="120"/>
      <c r="I166" s="120"/>
      <c r="J166" s="120"/>
      <c r="L166" s="78"/>
      <c r="Q166" s="12"/>
      <c r="R166" s="12"/>
    </row>
    <row r="167" spans="2:18" s="13" customFormat="1" ht="18.75">
      <c r="B167" s="53"/>
      <c r="F167" s="120"/>
      <c r="G167" s="120"/>
      <c r="H167" s="120"/>
      <c r="I167" s="120"/>
      <c r="J167" s="120"/>
      <c r="L167" s="78"/>
      <c r="Q167" s="12"/>
      <c r="R167" s="12"/>
    </row>
    <row r="168" spans="2:18" s="13" customFormat="1" ht="18.75">
      <c r="B168" s="53"/>
      <c r="F168" s="120"/>
      <c r="G168" s="120"/>
      <c r="H168" s="120"/>
      <c r="I168" s="120"/>
      <c r="J168" s="120"/>
      <c r="L168" s="78"/>
      <c r="Q168" s="12"/>
      <c r="R168" s="12"/>
    </row>
    <row r="169" spans="2:12" s="13" customFormat="1" ht="18.75">
      <c r="B169" s="53"/>
      <c r="F169" s="120"/>
      <c r="G169" s="120"/>
      <c r="H169" s="120"/>
      <c r="I169" s="120"/>
      <c r="J169" s="120"/>
      <c r="L169" s="78"/>
    </row>
    <row r="170" spans="2:12" s="13" customFormat="1" ht="18.75">
      <c r="B170" s="53"/>
      <c r="F170" s="120"/>
      <c r="G170" s="120"/>
      <c r="H170" s="120"/>
      <c r="I170" s="120"/>
      <c r="J170" s="120"/>
      <c r="L170" s="78"/>
    </row>
    <row r="171" spans="2:12" s="13" customFormat="1" ht="18.75">
      <c r="B171" s="53"/>
      <c r="F171" s="120"/>
      <c r="G171" s="120"/>
      <c r="H171" s="120"/>
      <c r="I171" s="120"/>
      <c r="J171" s="120"/>
      <c r="L171" s="78"/>
    </row>
    <row r="172" spans="2:12" s="13" customFormat="1" ht="18.75">
      <c r="B172" s="53"/>
      <c r="F172" s="120"/>
      <c r="G172" s="120"/>
      <c r="H172" s="120"/>
      <c r="I172" s="120"/>
      <c r="J172" s="120"/>
      <c r="L172" s="78"/>
    </row>
    <row r="173" spans="2:12" s="13" customFormat="1" ht="18.75">
      <c r="B173" s="53"/>
      <c r="F173" s="120"/>
      <c r="G173" s="120"/>
      <c r="H173" s="120"/>
      <c r="I173" s="120"/>
      <c r="J173" s="120"/>
      <c r="L173" s="78"/>
    </row>
    <row r="174" spans="2:12" s="13" customFormat="1" ht="18.75">
      <c r="B174" s="53"/>
      <c r="F174" s="120"/>
      <c r="G174" s="120"/>
      <c r="H174" s="120"/>
      <c r="I174" s="120"/>
      <c r="J174" s="120"/>
      <c r="L174" s="78"/>
    </row>
    <row r="175" spans="2:12" s="13" customFormat="1" ht="18.75">
      <c r="B175" s="53"/>
      <c r="F175" s="120"/>
      <c r="G175" s="120"/>
      <c r="H175" s="120"/>
      <c r="I175" s="120"/>
      <c r="J175" s="120"/>
      <c r="L175" s="78"/>
    </row>
    <row r="176" spans="2:12" s="13" customFormat="1" ht="18.75">
      <c r="B176" s="53"/>
      <c r="F176" s="120"/>
      <c r="G176" s="120"/>
      <c r="H176" s="120"/>
      <c r="I176" s="120"/>
      <c r="J176" s="120"/>
      <c r="L176" s="78"/>
    </row>
    <row r="177" spans="2:12" s="13" customFormat="1" ht="18.75">
      <c r="B177" s="53"/>
      <c r="F177" s="120"/>
      <c r="G177" s="120"/>
      <c r="H177" s="120"/>
      <c r="I177" s="120"/>
      <c r="J177" s="120"/>
      <c r="L177" s="78"/>
    </row>
    <row r="178" spans="2:12" s="13" customFormat="1" ht="18.75">
      <c r="B178" s="53"/>
      <c r="F178" s="120"/>
      <c r="G178" s="120"/>
      <c r="H178" s="120"/>
      <c r="I178" s="120"/>
      <c r="J178" s="120"/>
      <c r="L178" s="78"/>
    </row>
    <row r="179" spans="2:12" s="13" customFormat="1" ht="18.75">
      <c r="B179" s="53"/>
      <c r="F179" s="120"/>
      <c r="G179" s="120"/>
      <c r="H179" s="120"/>
      <c r="I179" s="120"/>
      <c r="J179" s="120"/>
      <c r="L179" s="78"/>
    </row>
    <row r="180" spans="2:12" s="13" customFormat="1" ht="18.75">
      <c r="B180" s="53"/>
      <c r="F180" s="120"/>
      <c r="G180" s="120"/>
      <c r="H180" s="120"/>
      <c r="I180" s="120"/>
      <c r="J180" s="120"/>
      <c r="L180" s="78"/>
    </row>
    <row r="181" spans="2:12" s="13" customFormat="1" ht="18.75">
      <c r="B181" s="53"/>
      <c r="F181" s="120"/>
      <c r="G181" s="120"/>
      <c r="H181" s="120"/>
      <c r="I181" s="120"/>
      <c r="J181" s="120"/>
      <c r="L181" s="78"/>
    </row>
    <row r="182" spans="2:12" s="13" customFormat="1" ht="18.75">
      <c r="B182" s="53"/>
      <c r="F182" s="120"/>
      <c r="G182" s="120"/>
      <c r="H182" s="120"/>
      <c r="I182" s="120"/>
      <c r="J182" s="120"/>
      <c r="L182" s="78"/>
    </row>
    <row r="183" spans="2:12" s="13" customFormat="1" ht="18.75">
      <c r="B183" s="53"/>
      <c r="F183" s="120"/>
      <c r="G183" s="120"/>
      <c r="H183" s="120"/>
      <c r="I183" s="120"/>
      <c r="J183" s="120"/>
      <c r="L183" s="78"/>
    </row>
    <row r="184" spans="2:12" s="13" customFormat="1" ht="18.75">
      <c r="B184" s="53"/>
      <c r="F184" s="120"/>
      <c r="G184" s="120"/>
      <c r="H184" s="120"/>
      <c r="I184" s="120"/>
      <c r="J184" s="120"/>
      <c r="L184" s="78"/>
    </row>
    <row r="185" spans="2:12" s="13" customFormat="1" ht="18.75">
      <c r="B185" s="53"/>
      <c r="F185" s="120"/>
      <c r="G185" s="120"/>
      <c r="H185" s="120"/>
      <c r="I185" s="120"/>
      <c r="J185" s="120"/>
      <c r="L185" s="78"/>
    </row>
    <row r="186" spans="2:12" s="13" customFormat="1" ht="18.75">
      <c r="B186" s="53"/>
      <c r="F186" s="120"/>
      <c r="G186" s="120"/>
      <c r="H186" s="120"/>
      <c r="I186" s="120"/>
      <c r="J186" s="120"/>
      <c r="L186" s="78"/>
    </row>
    <row r="187" spans="2:12" s="13" customFormat="1" ht="18.75">
      <c r="B187" s="53"/>
      <c r="F187" s="120"/>
      <c r="G187" s="120"/>
      <c r="H187" s="120"/>
      <c r="I187" s="120"/>
      <c r="J187" s="120"/>
      <c r="L187" s="78"/>
    </row>
    <row r="188" spans="2:12" s="13" customFormat="1" ht="18.75">
      <c r="B188" s="53"/>
      <c r="F188" s="120"/>
      <c r="G188" s="120"/>
      <c r="H188" s="120"/>
      <c r="I188" s="120"/>
      <c r="J188" s="120"/>
      <c r="L188" s="78"/>
    </row>
    <row r="189" spans="2:12" s="13" customFormat="1" ht="18.75">
      <c r="B189" s="53"/>
      <c r="F189" s="120"/>
      <c r="G189" s="120"/>
      <c r="H189" s="120"/>
      <c r="I189" s="120"/>
      <c r="J189" s="120"/>
      <c r="L189" s="78"/>
    </row>
    <row r="190" spans="2:12" s="13" customFormat="1" ht="18.75">
      <c r="B190" s="53"/>
      <c r="F190" s="120"/>
      <c r="G190" s="120"/>
      <c r="H190" s="120"/>
      <c r="I190" s="120"/>
      <c r="J190" s="120"/>
      <c r="L190" s="78"/>
    </row>
    <row r="191" spans="2:12" s="13" customFormat="1" ht="18.75">
      <c r="B191" s="53"/>
      <c r="F191" s="120"/>
      <c r="G191" s="120"/>
      <c r="H191" s="120"/>
      <c r="I191" s="120"/>
      <c r="J191" s="120"/>
      <c r="L191" s="78"/>
    </row>
    <row r="192" spans="2:12" s="13" customFormat="1" ht="18.75">
      <c r="B192" s="53"/>
      <c r="F192" s="120"/>
      <c r="G192" s="120"/>
      <c r="H192" s="120"/>
      <c r="I192" s="120"/>
      <c r="J192" s="120"/>
      <c r="L192" s="78"/>
    </row>
    <row r="193" spans="2:12" s="13" customFormat="1" ht="18.75">
      <c r="B193" s="53"/>
      <c r="F193" s="120"/>
      <c r="G193" s="120"/>
      <c r="H193" s="120"/>
      <c r="I193" s="120"/>
      <c r="J193" s="120"/>
      <c r="L193" s="78"/>
    </row>
    <row r="194" spans="2:12" s="13" customFormat="1" ht="18.75">
      <c r="B194" s="53"/>
      <c r="F194" s="120"/>
      <c r="G194" s="120"/>
      <c r="H194" s="120"/>
      <c r="I194" s="120"/>
      <c r="J194" s="120"/>
      <c r="L194" s="78"/>
    </row>
    <row r="195" spans="2:12" s="13" customFormat="1" ht="18.75">
      <c r="B195" s="53"/>
      <c r="F195" s="120"/>
      <c r="G195" s="120"/>
      <c r="H195" s="120"/>
      <c r="I195" s="120"/>
      <c r="J195" s="120"/>
      <c r="L195" s="78"/>
    </row>
    <row r="196" spans="2:12" s="13" customFormat="1" ht="18.75">
      <c r="B196" s="53"/>
      <c r="F196" s="120"/>
      <c r="G196" s="120"/>
      <c r="H196" s="120"/>
      <c r="I196" s="120"/>
      <c r="J196" s="120"/>
      <c r="L196" s="78"/>
    </row>
    <row r="197" spans="2:12" s="13" customFormat="1" ht="18.75">
      <c r="B197" s="53"/>
      <c r="F197" s="120"/>
      <c r="G197" s="120"/>
      <c r="H197" s="120"/>
      <c r="I197" s="120"/>
      <c r="J197" s="120"/>
      <c r="L197" s="78"/>
    </row>
    <row r="198" spans="2:12" s="13" customFormat="1" ht="18.75">
      <c r="B198" s="53"/>
      <c r="F198" s="120"/>
      <c r="G198" s="120"/>
      <c r="H198" s="120"/>
      <c r="I198" s="120"/>
      <c r="J198" s="120"/>
      <c r="L198" s="78"/>
    </row>
    <row r="199" spans="2:12" s="13" customFormat="1" ht="18.75">
      <c r="B199" s="53"/>
      <c r="F199" s="120"/>
      <c r="G199" s="120"/>
      <c r="H199" s="120"/>
      <c r="I199" s="120"/>
      <c r="J199" s="120"/>
      <c r="L199" s="78"/>
    </row>
    <row r="200" spans="2:12" s="13" customFormat="1" ht="18.75">
      <c r="B200" s="53"/>
      <c r="F200" s="120"/>
      <c r="G200" s="120"/>
      <c r="H200" s="120"/>
      <c r="I200" s="120"/>
      <c r="J200" s="120"/>
      <c r="L200" s="78"/>
    </row>
    <row r="201" spans="2:12" s="13" customFormat="1" ht="18.75">
      <c r="B201" s="53"/>
      <c r="F201" s="120"/>
      <c r="G201" s="120"/>
      <c r="H201" s="120"/>
      <c r="I201" s="120"/>
      <c r="J201" s="120"/>
      <c r="L201" s="78"/>
    </row>
    <row r="202" spans="2:12" s="13" customFormat="1" ht="18.75">
      <c r="B202" s="53"/>
      <c r="F202" s="120"/>
      <c r="G202" s="120"/>
      <c r="H202" s="120"/>
      <c r="I202" s="120"/>
      <c r="J202" s="120"/>
      <c r="L202" s="78"/>
    </row>
    <row r="203" spans="2:12" s="13" customFormat="1" ht="18.75">
      <c r="B203" s="53"/>
      <c r="F203" s="120"/>
      <c r="G203" s="120"/>
      <c r="H203" s="120"/>
      <c r="I203" s="120"/>
      <c r="J203" s="120"/>
      <c r="L203" s="78"/>
    </row>
    <row r="204" spans="2:12" s="13" customFormat="1" ht="18.75">
      <c r="B204" s="53"/>
      <c r="F204" s="120"/>
      <c r="G204" s="120"/>
      <c r="H204" s="120"/>
      <c r="I204" s="120"/>
      <c r="J204" s="120"/>
      <c r="L204" s="78"/>
    </row>
    <row r="205" spans="2:12" s="13" customFormat="1" ht="18.75">
      <c r="B205" s="53"/>
      <c r="F205" s="120"/>
      <c r="G205" s="120"/>
      <c r="H205" s="120"/>
      <c r="I205" s="120"/>
      <c r="J205" s="120"/>
      <c r="L205" s="78"/>
    </row>
    <row r="206" spans="2:12" s="13" customFormat="1" ht="18.75">
      <c r="B206" s="53"/>
      <c r="F206" s="120"/>
      <c r="G206" s="120"/>
      <c r="H206" s="120"/>
      <c r="I206" s="120"/>
      <c r="J206" s="120"/>
      <c r="L206" s="78"/>
    </row>
    <row r="207" spans="2:12" s="13" customFormat="1" ht="18.75">
      <c r="B207" s="53"/>
      <c r="F207" s="120"/>
      <c r="G207" s="120"/>
      <c r="H207" s="120"/>
      <c r="I207" s="120"/>
      <c r="J207" s="120"/>
      <c r="L207" s="78"/>
    </row>
    <row r="208" spans="2:12" s="13" customFormat="1" ht="18.75">
      <c r="B208" s="53"/>
      <c r="F208" s="120"/>
      <c r="G208" s="120"/>
      <c r="H208" s="120"/>
      <c r="I208" s="120"/>
      <c r="J208" s="120"/>
      <c r="L208" s="78"/>
    </row>
    <row r="209" spans="2:12" s="13" customFormat="1" ht="18.75">
      <c r="B209" s="53"/>
      <c r="F209" s="120"/>
      <c r="G209" s="120"/>
      <c r="H209" s="120"/>
      <c r="I209" s="120"/>
      <c r="J209" s="120"/>
      <c r="L209" s="78"/>
    </row>
    <row r="210" spans="2:12" s="13" customFormat="1" ht="18.75">
      <c r="B210" s="53"/>
      <c r="F210" s="120"/>
      <c r="G210" s="120"/>
      <c r="H210" s="120"/>
      <c r="I210" s="120"/>
      <c r="J210" s="120"/>
      <c r="L210" s="78"/>
    </row>
    <row r="211" spans="2:12" s="13" customFormat="1" ht="18.75">
      <c r="B211" s="53"/>
      <c r="F211" s="120"/>
      <c r="G211" s="120"/>
      <c r="H211" s="120"/>
      <c r="I211" s="120"/>
      <c r="J211" s="120"/>
      <c r="L211" s="78"/>
    </row>
    <row r="212" spans="2:12" s="13" customFormat="1" ht="18.75">
      <c r="B212" s="53"/>
      <c r="F212" s="120"/>
      <c r="G212" s="120"/>
      <c r="H212" s="120"/>
      <c r="I212" s="120"/>
      <c r="J212" s="120"/>
      <c r="L212" s="78"/>
    </row>
    <row r="213" spans="2:12" s="13" customFormat="1" ht="18.75">
      <c r="B213" s="53"/>
      <c r="F213" s="120"/>
      <c r="G213" s="120"/>
      <c r="H213" s="120"/>
      <c r="I213" s="120"/>
      <c r="J213" s="120"/>
      <c r="L213" s="78"/>
    </row>
    <row r="214" spans="2:12" s="13" customFormat="1" ht="18.75">
      <c r="B214" s="53"/>
      <c r="F214" s="120"/>
      <c r="G214" s="120"/>
      <c r="H214" s="120"/>
      <c r="I214" s="120"/>
      <c r="J214" s="120"/>
      <c r="L214" s="78"/>
    </row>
    <row r="215" spans="2:12" s="13" customFormat="1" ht="18.75">
      <c r="B215" s="53"/>
      <c r="F215" s="120"/>
      <c r="G215" s="120"/>
      <c r="H215" s="120"/>
      <c r="I215" s="120"/>
      <c r="J215" s="120"/>
      <c r="L215" s="78"/>
    </row>
    <row r="216" spans="2:12" s="13" customFormat="1" ht="18.75">
      <c r="B216" s="53"/>
      <c r="F216" s="120"/>
      <c r="G216" s="120"/>
      <c r="H216" s="120"/>
      <c r="I216" s="120"/>
      <c r="J216" s="120"/>
      <c r="L216" s="78"/>
    </row>
    <row r="217" spans="2:12" s="13" customFormat="1" ht="18.75">
      <c r="B217" s="53"/>
      <c r="F217" s="120"/>
      <c r="G217" s="120"/>
      <c r="H217" s="120"/>
      <c r="I217" s="120"/>
      <c r="J217" s="120"/>
      <c r="L217" s="78"/>
    </row>
    <row r="218" spans="2:12" s="13" customFormat="1" ht="18.75">
      <c r="B218" s="53"/>
      <c r="F218" s="120"/>
      <c r="G218" s="120"/>
      <c r="H218" s="120"/>
      <c r="I218" s="120"/>
      <c r="J218" s="120"/>
      <c r="L218" s="78"/>
    </row>
    <row r="219" spans="2:12" s="13" customFormat="1" ht="18.75">
      <c r="B219" s="53"/>
      <c r="F219" s="120"/>
      <c r="G219" s="120"/>
      <c r="H219" s="120"/>
      <c r="I219" s="120"/>
      <c r="J219" s="120"/>
      <c r="L219" s="78"/>
    </row>
    <row r="220" spans="2:12" s="13" customFormat="1" ht="18.75">
      <c r="B220" s="53"/>
      <c r="F220" s="120"/>
      <c r="G220" s="120"/>
      <c r="H220" s="120"/>
      <c r="I220" s="120"/>
      <c r="J220" s="120"/>
      <c r="L220" s="78"/>
    </row>
    <row r="221" spans="2:12" s="13" customFormat="1" ht="18.75">
      <c r="B221" s="53"/>
      <c r="F221" s="120"/>
      <c r="G221" s="120"/>
      <c r="H221" s="120"/>
      <c r="I221" s="120"/>
      <c r="J221" s="120"/>
      <c r="L221" s="78"/>
    </row>
    <row r="222" spans="2:12" s="13" customFormat="1" ht="18.75">
      <c r="B222" s="53"/>
      <c r="F222" s="120"/>
      <c r="G222" s="120"/>
      <c r="H222" s="120"/>
      <c r="I222" s="120"/>
      <c r="J222" s="120"/>
      <c r="L222" s="78"/>
    </row>
    <row r="223" spans="2:12" s="13" customFormat="1" ht="18.75">
      <c r="B223" s="53"/>
      <c r="F223" s="120"/>
      <c r="G223" s="120"/>
      <c r="H223" s="120"/>
      <c r="I223" s="120"/>
      <c r="J223" s="120"/>
      <c r="L223" s="78"/>
    </row>
    <row r="224" spans="2:12" s="13" customFormat="1" ht="18.75">
      <c r="B224" s="53"/>
      <c r="F224" s="120"/>
      <c r="G224" s="120"/>
      <c r="H224" s="120"/>
      <c r="I224" s="120"/>
      <c r="J224" s="120"/>
      <c r="L224" s="78"/>
    </row>
    <row r="225" spans="2:12" s="13" customFormat="1" ht="18.75">
      <c r="B225" s="53"/>
      <c r="F225" s="120"/>
      <c r="G225" s="120"/>
      <c r="H225" s="120"/>
      <c r="I225" s="120"/>
      <c r="J225" s="120"/>
      <c r="L225" s="78"/>
    </row>
    <row r="226" spans="2:12" s="13" customFormat="1" ht="18.75">
      <c r="B226" s="53"/>
      <c r="F226" s="120"/>
      <c r="G226" s="120"/>
      <c r="H226" s="120"/>
      <c r="I226" s="120"/>
      <c r="J226" s="120"/>
      <c r="L226" s="78"/>
    </row>
    <row r="227" spans="2:12" s="13" customFormat="1" ht="18.75">
      <c r="B227" s="53"/>
      <c r="F227" s="120"/>
      <c r="G227" s="120"/>
      <c r="H227" s="120"/>
      <c r="I227" s="120"/>
      <c r="J227" s="120"/>
      <c r="L227" s="78"/>
    </row>
    <row r="228" spans="2:12" s="13" customFormat="1" ht="18.75">
      <c r="B228" s="53"/>
      <c r="F228" s="120"/>
      <c r="G228" s="120"/>
      <c r="H228" s="120"/>
      <c r="I228" s="120"/>
      <c r="J228" s="120"/>
      <c r="L228" s="78"/>
    </row>
    <row r="229" spans="2:12" s="13" customFormat="1" ht="18.75">
      <c r="B229" s="53"/>
      <c r="F229" s="120"/>
      <c r="G229" s="120"/>
      <c r="H229" s="120"/>
      <c r="I229" s="120"/>
      <c r="J229" s="120"/>
      <c r="L229" s="78"/>
    </row>
    <row r="230" spans="2:12" s="13" customFormat="1" ht="18.75">
      <c r="B230" s="53"/>
      <c r="F230" s="120"/>
      <c r="G230" s="120"/>
      <c r="H230" s="120"/>
      <c r="I230" s="120"/>
      <c r="J230" s="120"/>
      <c r="L230" s="78"/>
    </row>
    <row r="231" spans="2:12" s="13" customFormat="1" ht="18.75">
      <c r="B231" s="53"/>
      <c r="F231" s="120"/>
      <c r="G231" s="120"/>
      <c r="H231" s="120"/>
      <c r="I231" s="120"/>
      <c r="J231" s="120"/>
      <c r="L231" s="78"/>
    </row>
    <row r="232" spans="2:12" s="13" customFormat="1" ht="18.75">
      <c r="B232" s="53"/>
      <c r="F232" s="120"/>
      <c r="G232" s="120"/>
      <c r="H232" s="120"/>
      <c r="I232" s="120"/>
      <c r="J232" s="120"/>
      <c r="L232" s="78"/>
    </row>
    <row r="233" spans="2:12" s="13" customFormat="1" ht="18.75">
      <c r="B233" s="53"/>
      <c r="F233" s="120"/>
      <c r="G233" s="120"/>
      <c r="H233" s="120"/>
      <c r="I233" s="120"/>
      <c r="J233" s="120"/>
      <c r="L233" s="78"/>
    </row>
    <row r="234" spans="2:12" s="13" customFormat="1" ht="18.75">
      <c r="B234" s="53"/>
      <c r="F234" s="120"/>
      <c r="G234" s="120"/>
      <c r="H234" s="120"/>
      <c r="I234" s="120"/>
      <c r="J234" s="120"/>
      <c r="L234" s="78"/>
    </row>
    <row r="235" spans="2:12" s="13" customFormat="1" ht="18.75">
      <c r="B235" s="53"/>
      <c r="F235" s="120"/>
      <c r="G235" s="120"/>
      <c r="H235" s="120"/>
      <c r="I235" s="120"/>
      <c r="J235" s="120"/>
      <c r="L235" s="78"/>
    </row>
    <row r="236" spans="2:12" s="13" customFormat="1" ht="18.75">
      <c r="B236" s="53"/>
      <c r="F236" s="120"/>
      <c r="G236" s="120"/>
      <c r="H236" s="120"/>
      <c r="I236" s="120"/>
      <c r="J236" s="120"/>
      <c r="L236" s="78"/>
    </row>
    <row r="237" spans="2:12" s="13" customFormat="1" ht="18.75">
      <c r="B237" s="53"/>
      <c r="F237" s="120"/>
      <c r="G237" s="120"/>
      <c r="H237" s="120"/>
      <c r="I237" s="120"/>
      <c r="J237" s="120"/>
      <c r="L237" s="78"/>
    </row>
    <row r="238" spans="2:12" s="13" customFormat="1" ht="18.75">
      <c r="B238" s="53"/>
      <c r="F238" s="120"/>
      <c r="G238" s="120"/>
      <c r="H238" s="120"/>
      <c r="I238" s="120"/>
      <c r="J238" s="120"/>
      <c r="L238" s="78"/>
    </row>
    <row r="239" spans="2:12" s="13" customFormat="1" ht="18.75">
      <c r="B239" s="53"/>
      <c r="F239" s="120"/>
      <c r="G239" s="120"/>
      <c r="H239" s="120"/>
      <c r="I239" s="120"/>
      <c r="J239" s="120"/>
      <c r="L239" s="78"/>
    </row>
    <row r="240" spans="2:12" s="13" customFormat="1" ht="18.75">
      <c r="B240" s="53"/>
      <c r="F240" s="120"/>
      <c r="G240" s="120"/>
      <c r="H240" s="120"/>
      <c r="I240" s="120"/>
      <c r="J240" s="120"/>
      <c r="L240" s="78"/>
    </row>
    <row r="241" spans="2:12" s="13" customFormat="1" ht="18.75">
      <c r="B241" s="53"/>
      <c r="F241" s="120"/>
      <c r="G241" s="120"/>
      <c r="H241" s="120"/>
      <c r="I241" s="120"/>
      <c r="J241" s="120"/>
      <c r="L241" s="78"/>
    </row>
    <row r="242" spans="2:12" s="13" customFormat="1" ht="18.75">
      <c r="B242" s="53"/>
      <c r="F242" s="120"/>
      <c r="G242" s="120"/>
      <c r="H242" s="120"/>
      <c r="I242" s="120"/>
      <c r="J242" s="120"/>
      <c r="L242" s="78"/>
    </row>
    <row r="243" spans="2:12" s="13" customFormat="1" ht="18.75">
      <c r="B243" s="53"/>
      <c r="F243" s="120"/>
      <c r="G243" s="120"/>
      <c r="H243" s="120"/>
      <c r="I243" s="120"/>
      <c r="J243" s="120"/>
      <c r="L243" s="78"/>
    </row>
    <row r="244" spans="2:12" s="13" customFormat="1" ht="18.75">
      <c r="B244" s="53"/>
      <c r="F244" s="120"/>
      <c r="G244" s="120"/>
      <c r="H244" s="120"/>
      <c r="I244" s="120"/>
      <c r="J244" s="120"/>
      <c r="L244" s="78"/>
    </row>
    <row r="245" spans="2:12" s="13" customFormat="1" ht="18.75">
      <c r="B245" s="53"/>
      <c r="F245" s="120"/>
      <c r="G245" s="120"/>
      <c r="H245" s="120"/>
      <c r="I245" s="120"/>
      <c r="J245" s="120"/>
      <c r="L245" s="78"/>
    </row>
    <row r="246" spans="2:12" s="13" customFormat="1" ht="18.75">
      <c r="B246" s="53"/>
      <c r="F246" s="120"/>
      <c r="G246" s="120"/>
      <c r="H246" s="120"/>
      <c r="I246" s="120"/>
      <c r="J246" s="120"/>
      <c r="L246" s="78"/>
    </row>
    <row r="247" spans="2:12" s="13" customFormat="1" ht="18.75">
      <c r="B247" s="53"/>
      <c r="F247" s="120"/>
      <c r="G247" s="120"/>
      <c r="H247" s="120"/>
      <c r="I247" s="120"/>
      <c r="J247" s="120"/>
      <c r="L247" s="78"/>
    </row>
    <row r="248" spans="2:12" s="13" customFormat="1" ht="18.75">
      <c r="B248" s="53"/>
      <c r="F248" s="120"/>
      <c r="G248" s="120"/>
      <c r="H248" s="120"/>
      <c r="I248" s="120"/>
      <c r="J248" s="120"/>
      <c r="L248" s="78"/>
    </row>
    <row r="249" spans="2:12" s="13" customFormat="1" ht="18.75">
      <c r="B249" s="53"/>
      <c r="F249" s="120"/>
      <c r="G249" s="120"/>
      <c r="H249" s="120"/>
      <c r="I249" s="120"/>
      <c r="J249" s="120"/>
      <c r="L249" s="78"/>
    </row>
    <row r="250" spans="2:12" s="13" customFormat="1" ht="18.75">
      <c r="B250" s="53"/>
      <c r="F250" s="120"/>
      <c r="G250" s="120"/>
      <c r="H250" s="120"/>
      <c r="I250" s="120"/>
      <c r="J250" s="120"/>
      <c r="L250" s="78"/>
    </row>
    <row r="251" spans="2:12" s="13" customFormat="1" ht="18.75">
      <c r="B251" s="53"/>
      <c r="F251" s="120"/>
      <c r="G251" s="120"/>
      <c r="H251" s="120"/>
      <c r="I251" s="120"/>
      <c r="J251" s="120"/>
      <c r="L251" s="78"/>
    </row>
    <row r="252" spans="2:12" s="13" customFormat="1" ht="18.75">
      <c r="B252" s="53"/>
      <c r="F252" s="120"/>
      <c r="G252" s="120"/>
      <c r="H252" s="120"/>
      <c r="I252" s="120"/>
      <c r="J252" s="120"/>
      <c r="L252" s="78"/>
    </row>
    <row r="253" spans="2:12" s="13" customFormat="1" ht="18.75">
      <c r="B253" s="53"/>
      <c r="F253" s="120"/>
      <c r="G253" s="120"/>
      <c r="H253" s="120"/>
      <c r="I253" s="120"/>
      <c r="J253" s="120"/>
      <c r="L253" s="78"/>
    </row>
    <row r="254" spans="2:12" s="13" customFormat="1" ht="18.75">
      <c r="B254" s="53"/>
      <c r="F254" s="120"/>
      <c r="G254" s="120"/>
      <c r="H254" s="120"/>
      <c r="I254" s="120"/>
      <c r="J254" s="120"/>
      <c r="L254" s="78"/>
    </row>
    <row r="255" spans="2:12" s="13" customFormat="1" ht="18.75">
      <c r="B255" s="53"/>
      <c r="F255" s="120"/>
      <c r="G255" s="120"/>
      <c r="H255" s="120"/>
      <c r="I255" s="120"/>
      <c r="J255" s="120"/>
      <c r="L255" s="78"/>
    </row>
    <row r="256" spans="2:12" s="13" customFormat="1" ht="18.75">
      <c r="B256" s="53"/>
      <c r="F256" s="120"/>
      <c r="G256" s="120"/>
      <c r="H256" s="120"/>
      <c r="I256" s="120"/>
      <c r="J256" s="120"/>
      <c r="L256" s="78"/>
    </row>
    <row r="257" spans="2:12" s="13" customFormat="1" ht="18.75">
      <c r="B257" s="53"/>
      <c r="F257" s="120"/>
      <c r="G257" s="120"/>
      <c r="H257" s="120"/>
      <c r="I257" s="120"/>
      <c r="J257" s="120"/>
      <c r="L257" s="78"/>
    </row>
    <row r="258" spans="2:12" s="13" customFormat="1" ht="18.75">
      <c r="B258" s="53"/>
      <c r="F258" s="120"/>
      <c r="G258" s="120"/>
      <c r="H258" s="120"/>
      <c r="I258" s="120"/>
      <c r="J258" s="120"/>
      <c r="L258" s="78"/>
    </row>
    <row r="259" spans="2:12" s="13" customFormat="1" ht="18.75">
      <c r="B259" s="53"/>
      <c r="F259" s="120"/>
      <c r="G259" s="120"/>
      <c r="H259" s="120"/>
      <c r="I259" s="120"/>
      <c r="J259" s="120"/>
      <c r="L259" s="78"/>
    </row>
    <row r="260" spans="2:12" s="13" customFormat="1" ht="18.75">
      <c r="B260" s="53"/>
      <c r="F260" s="120"/>
      <c r="G260" s="120"/>
      <c r="H260" s="120"/>
      <c r="I260" s="120"/>
      <c r="J260" s="120"/>
      <c r="L260" s="78"/>
    </row>
    <row r="261" spans="2:12" s="13" customFormat="1" ht="18.75">
      <c r="B261" s="53"/>
      <c r="F261" s="120"/>
      <c r="G261" s="120"/>
      <c r="H261" s="120"/>
      <c r="I261" s="120"/>
      <c r="J261" s="120"/>
      <c r="L261" s="78"/>
    </row>
    <row r="262" spans="2:12" s="13" customFormat="1" ht="18.75">
      <c r="B262" s="53"/>
      <c r="F262" s="120"/>
      <c r="G262" s="120"/>
      <c r="H262" s="120"/>
      <c r="I262" s="120"/>
      <c r="J262" s="120"/>
      <c r="L262" s="78"/>
    </row>
    <row r="263" spans="2:12" s="13" customFormat="1" ht="18.75">
      <c r="B263" s="53"/>
      <c r="F263" s="120"/>
      <c r="G263" s="120"/>
      <c r="H263" s="120"/>
      <c r="I263" s="120"/>
      <c r="J263" s="120"/>
      <c r="L263" s="78"/>
    </row>
    <row r="264" spans="2:12" s="13" customFormat="1" ht="18.75">
      <c r="B264" s="53"/>
      <c r="F264" s="120"/>
      <c r="G264" s="120"/>
      <c r="H264" s="120"/>
      <c r="I264" s="120"/>
      <c r="J264" s="120"/>
      <c r="L264" s="78"/>
    </row>
    <row r="265" spans="2:12" s="13" customFormat="1" ht="18.75">
      <c r="B265" s="53"/>
      <c r="F265" s="120"/>
      <c r="G265" s="120"/>
      <c r="H265" s="120"/>
      <c r="I265" s="120"/>
      <c r="J265" s="120"/>
      <c r="L265" s="78"/>
    </row>
    <row r="266" spans="2:12" s="13" customFormat="1" ht="18.75">
      <c r="B266" s="53"/>
      <c r="F266" s="120"/>
      <c r="G266" s="120"/>
      <c r="H266" s="120"/>
      <c r="I266" s="120"/>
      <c r="J266" s="120"/>
      <c r="L266" s="78"/>
    </row>
    <row r="267" spans="2:12" s="13" customFormat="1" ht="18.75">
      <c r="B267" s="53"/>
      <c r="F267" s="120"/>
      <c r="G267" s="120"/>
      <c r="H267" s="120"/>
      <c r="I267" s="120"/>
      <c r="J267" s="120"/>
      <c r="L267" s="78"/>
    </row>
    <row r="268" spans="2:12" s="13" customFormat="1" ht="18.75">
      <c r="B268" s="53"/>
      <c r="F268" s="120"/>
      <c r="G268" s="120"/>
      <c r="H268" s="120"/>
      <c r="I268" s="120"/>
      <c r="J268" s="120"/>
      <c r="L268" s="78"/>
    </row>
    <row r="269" spans="2:12" s="13" customFormat="1" ht="18.75">
      <c r="B269" s="53"/>
      <c r="F269" s="120"/>
      <c r="G269" s="120"/>
      <c r="H269" s="120"/>
      <c r="I269" s="120"/>
      <c r="J269" s="120"/>
      <c r="L269" s="78"/>
    </row>
    <row r="270" spans="2:12" s="13" customFormat="1" ht="18.75">
      <c r="B270" s="53"/>
      <c r="F270" s="120"/>
      <c r="G270" s="120"/>
      <c r="H270" s="120"/>
      <c r="I270" s="120"/>
      <c r="J270" s="120"/>
      <c r="L270" s="78"/>
    </row>
    <row r="271" spans="2:12" s="13" customFormat="1" ht="18.75">
      <c r="B271" s="53"/>
      <c r="F271" s="120"/>
      <c r="G271" s="120"/>
      <c r="H271" s="120"/>
      <c r="I271" s="120"/>
      <c r="J271" s="120"/>
      <c r="L271" s="78"/>
    </row>
    <row r="272" spans="2:12" s="13" customFormat="1" ht="18.75">
      <c r="B272" s="53"/>
      <c r="F272" s="120"/>
      <c r="G272" s="120"/>
      <c r="H272" s="120"/>
      <c r="I272" s="120"/>
      <c r="J272" s="120"/>
      <c r="L272" s="78"/>
    </row>
    <row r="273" spans="2:12" s="13" customFormat="1" ht="18.75">
      <c r="B273" s="53"/>
      <c r="F273" s="120"/>
      <c r="G273" s="120"/>
      <c r="H273" s="120"/>
      <c r="I273" s="120"/>
      <c r="J273" s="120"/>
      <c r="L273" s="78"/>
    </row>
    <row r="274" spans="2:12" s="13" customFormat="1" ht="18.75">
      <c r="B274" s="53"/>
      <c r="F274" s="120"/>
      <c r="G274" s="120"/>
      <c r="H274" s="120"/>
      <c r="I274" s="120"/>
      <c r="J274" s="120"/>
      <c r="L274" s="78"/>
    </row>
    <row r="275" spans="2:12" s="13" customFormat="1" ht="18.75">
      <c r="B275" s="53"/>
      <c r="F275" s="120"/>
      <c r="G275" s="120"/>
      <c r="H275" s="120"/>
      <c r="I275" s="120"/>
      <c r="J275" s="120"/>
      <c r="L275" s="78"/>
    </row>
    <row r="276" spans="2:12" s="13" customFormat="1" ht="18.75">
      <c r="B276" s="53"/>
      <c r="F276" s="120"/>
      <c r="G276" s="120"/>
      <c r="H276" s="120"/>
      <c r="I276" s="120"/>
      <c r="J276" s="120"/>
      <c r="L276" s="78"/>
    </row>
    <row r="277" spans="2:12" s="13" customFormat="1" ht="18.75">
      <c r="B277" s="53"/>
      <c r="F277" s="120"/>
      <c r="G277" s="120"/>
      <c r="H277" s="120"/>
      <c r="I277" s="120"/>
      <c r="J277" s="120"/>
      <c r="L277" s="78"/>
    </row>
    <row r="278" spans="2:12" s="13" customFormat="1" ht="18.75">
      <c r="B278" s="53"/>
      <c r="F278" s="120"/>
      <c r="G278" s="120"/>
      <c r="H278" s="120"/>
      <c r="I278" s="120"/>
      <c r="J278" s="120"/>
      <c r="L278" s="78"/>
    </row>
    <row r="279" spans="2:12" s="13" customFormat="1" ht="18.75">
      <c r="B279" s="53"/>
      <c r="F279" s="120"/>
      <c r="G279" s="120"/>
      <c r="H279" s="120"/>
      <c r="I279" s="120"/>
      <c r="J279" s="120"/>
      <c r="L279" s="78"/>
    </row>
    <row r="280" spans="2:12" s="13" customFormat="1" ht="18.75">
      <c r="B280" s="53"/>
      <c r="F280" s="120"/>
      <c r="G280" s="120"/>
      <c r="H280" s="120"/>
      <c r="I280" s="120"/>
      <c r="J280" s="120"/>
      <c r="L280" s="78"/>
    </row>
    <row r="281" spans="2:12" s="13" customFormat="1" ht="18.75">
      <c r="B281" s="53"/>
      <c r="F281" s="120"/>
      <c r="G281" s="120"/>
      <c r="H281" s="120"/>
      <c r="I281" s="120"/>
      <c r="J281" s="120"/>
      <c r="L281" s="78"/>
    </row>
    <row r="282" spans="2:12" s="13" customFormat="1" ht="18.75">
      <c r="B282" s="53"/>
      <c r="F282" s="120"/>
      <c r="G282" s="120"/>
      <c r="H282" s="120"/>
      <c r="I282" s="120"/>
      <c r="J282" s="120"/>
      <c r="L282" s="78"/>
    </row>
    <row r="283" spans="2:12" s="13" customFormat="1" ht="18.75">
      <c r="B283" s="53"/>
      <c r="F283" s="120"/>
      <c r="G283" s="120"/>
      <c r="H283" s="120"/>
      <c r="I283" s="120"/>
      <c r="J283" s="120"/>
      <c r="L283" s="78"/>
    </row>
    <row r="284" spans="2:12" s="13" customFormat="1" ht="18.75">
      <c r="B284" s="53"/>
      <c r="F284" s="120"/>
      <c r="G284" s="120"/>
      <c r="H284" s="120"/>
      <c r="I284" s="120"/>
      <c r="J284" s="120"/>
      <c r="L284" s="78"/>
    </row>
    <row r="285" spans="2:12" s="13" customFormat="1" ht="18.75">
      <c r="B285" s="53"/>
      <c r="F285" s="120"/>
      <c r="G285" s="120"/>
      <c r="H285" s="120"/>
      <c r="I285" s="120"/>
      <c r="J285" s="120"/>
      <c r="L285" s="78"/>
    </row>
    <row r="286" spans="2:12" s="13" customFormat="1" ht="18.75">
      <c r="B286" s="53"/>
      <c r="F286" s="120"/>
      <c r="G286" s="120"/>
      <c r="H286" s="120"/>
      <c r="I286" s="120"/>
      <c r="J286" s="120"/>
      <c r="L286" s="78"/>
    </row>
    <row r="287" spans="2:12" s="13" customFormat="1" ht="18.75">
      <c r="B287" s="53"/>
      <c r="F287" s="120"/>
      <c r="G287" s="120"/>
      <c r="H287" s="120"/>
      <c r="I287" s="120"/>
      <c r="J287" s="120"/>
      <c r="L287" s="78"/>
    </row>
    <row r="288" spans="2:12" s="13" customFormat="1" ht="18.75">
      <c r="B288" s="53"/>
      <c r="F288" s="120"/>
      <c r="G288" s="120"/>
      <c r="H288" s="120"/>
      <c r="I288" s="120"/>
      <c r="J288" s="120"/>
      <c r="L288" s="78"/>
    </row>
    <row r="289" spans="2:12" s="13" customFormat="1" ht="18.75">
      <c r="B289" s="53"/>
      <c r="F289" s="120"/>
      <c r="G289" s="120"/>
      <c r="H289" s="120"/>
      <c r="I289" s="120"/>
      <c r="J289" s="120"/>
      <c r="L289" s="78"/>
    </row>
    <row r="290" spans="2:12" s="13" customFormat="1" ht="18.75">
      <c r="B290" s="53"/>
      <c r="F290" s="120"/>
      <c r="G290" s="120"/>
      <c r="H290" s="120"/>
      <c r="I290" s="120"/>
      <c r="J290" s="120"/>
      <c r="L290" s="78"/>
    </row>
    <row r="291" spans="2:12" s="13" customFormat="1" ht="18.75">
      <c r="B291" s="53"/>
      <c r="F291" s="120"/>
      <c r="G291" s="120"/>
      <c r="H291" s="120"/>
      <c r="I291" s="120"/>
      <c r="J291" s="120"/>
      <c r="L291" s="78"/>
    </row>
    <row r="292" spans="2:12" s="13" customFormat="1" ht="18.75">
      <c r="B292" s="53"/>
      <c r="F292" s="120"/>
      <c r="G292" s="120"/>
      <c r="H292" s="120"/>
      <c r="I292" s="120"/>
      <c r="J292" s="120"/>
      <c r="L292" s="78"/>
    </row>
    <row r="293" spans="2:12" s="13" customFormat="1" ht="18.75">
      <c r="B293" s="53"/>
      <c r="F293" s="120"/>
      <c r="G293" s="120"/>
      <c r="H293" s="120"/>
      <c r="I293" s="120"/>
      <c r="J293" s="120"/>
      <c r="L293" s="78"/>
    </row>
    <row r="294" spans="2:12" s="13" customFormat="1" ht="18.75">
      <c r="B294" s="53"/>
      <c r="F294" s="120"/>
      <c r="G294" s="120"/>
      <c r="H294" s="120"/>
      <c r="I294" s="120"/>
      <c r="J294" s="120"/>
      <c r="L294" s="78"/>
    </row>
    <row r="295" spans="2:12" s="13" customFormat="1" ht="18.75">
      <c r="B295" s="53"/>
      <c r="F295" s="120"/>
      <c r="G295" s="120"/>
      <c r="H295" s="120"/>
      <c r="I295" s="120"/>
      <c r="J295" s="120"/>
      <c r="L295" s="78"/>
    </row>
    <row r="296" spans="2:12" s="13" customFormat="1" ht="18.75">
      <c r="B296" s="53"/>
      <c r="F296" s="120"/>
      <c r="G296" s="120"/>
      <c r="H296" s="120"/>
      <c r="I296" s="120"/>
      <c r="J296" s="120"/>
      <c r="L296" s="78"/>
    </row>
    <row r="297" spans="2:12" s="13" customFormat="1" ht="18.75">
      <c r="B297" s="53"/>
      <c r="F297" s="120"/>
      <c r="G297" s="120"/>
      <c r="H297" s="120"/>
      <c r="I297" s="120"/>
      <c r="J297" s="120"/>
      <c r="L297" s="78"/>
    </row>
    <row r="298" spans="2:12" s="13" customFormat="1" ht="18.75">
      <c r="B298" s="53"/>
      <c r="F298" s="120"/>
      <c r="G298" s="120"/>
      <c r="H298" s="120"/>
      <c r="I298" s="120"/>
      <c r="J298" s="120"/>
      <c r="L298" s="78"/>
    </row>
    <row r="299" spans="2:12" s="13" customFormat="1" ht="18.75">
      <c r="B299" s="53"/>
      <c r="F299" s="120"/>
      <c r="G299" s="120"/>
      <c r="H299" s="120"/>
      <c r="I299" s="120"/>
      <c r="J299" s="120"/>
      <c r="L299" s="78"/>
    </row>
    <row r="300" spans="2:12" s="13" customFormat="1" ht="18.75">
      <c r="B300" s="53"/>
      <c r="F300" s="120"/>
      <c r="G300" s="120"/>
      <c r="H300" s="120"/>
      <c r="I300" s="120"/>
      <c r="J300" s="120"/>
      <c r="L300" s="78"/>
    </row>
    <row r="301" spans="2:12" s="13" customFormat="1" ht="18.75">
      <c r="B301" s="53"/>
      <c r="F301" s="120"/>
      <c r="G301" s="120"/>
      <c r="H301" s="120"/>
      <c r="I301" s="120"/>
      <c r="J301" s="120"/>
      <c r="L301" s="78"/>
    </row>
    <row r="302" spans="2:12" s="13" customFormat="1" ht="18.75">
      <c r="B302" s="53"/>
      <c r="F302" s="120"/>
      <c r="G302" s="120"/>
      <c r="H302" s="120"/>
      <c r="I302" s="120"/>
      <c r="J302" s="120"/>
      <c r="L302" s="78"/>
    </row>
    <row r="303" spans="2:12" s="13" customFormat="1" ht="18.75">
      <c r="B303" s="53"/>
      <c r="F303" s="120"/>
      <c r="G303" s="120"/>
      <c r="H303" s="120"/>
      <c r="I303" s="120"/>
      <c r="J303" s="120"/>
      <c r="L303" s="78"/>
    </row>
    <row r="304" spans="2:12" s="13" customFormat="1" ht="18.75">
      <c r="B304" s="53"/>
      <c r="F304" s="120"/>
      <c r="G304" s="120"/>
      <c r="H304" s="120"/>
      <c r="I304" s="120"/>
      <c r="J304" s="120"/>
      <c r="L304" s="78"/>
    </row>
    <row r="305" spans="2:12" s="13" customFormat="1" ht="18.75">
      <c r="B305" s="53"/>
      <c r="F305" s="120"/>
      <c r="G305" s="120"/>
      <c r="H305" s="120"/>
      <c r="I305" s="120"/>
      <c r="J305" s="120"/>
      <c r="L305" s="78"/>
    </row>
    <row r="306" spans="2:12" s="13" customFormat="1" ht="18.75">
      <c r="B306" s="53"/>
      <c r="F306" s="120"/>
      <c r="G306" s="120"/>
      <c r="H306" s="120"/>
      <c r="I306" s="120"/>
      <c r="J306" s="120"/>
      <c r="L306" s="78"/>
    </row>
    <row r="307" spans="2:12" s="13" customFormat="1" ht="18.75">
      <c r="B307" s="53"/>
      <c r="F307" s="120"/>
      <c r="G307" s="120"/>
      <c r="H307" s="120"/>
      <c r="I307" s="120"/>
      <c r="J307" s="120"/>
      <c r="L307" s="78"/>
    </row>
    <row r="308" spans="2:12" s="13" customFormat="1" ht="18.75">
      <c r="B308" s="53"/>
      <c r="F308" s="120"/>
      <c r="G308" s="120"/>
      <c r="H308" s="120"/>
      <c r="I308" s="120"/>
      <c r="J308" s="120"/>
      <c r="L308" s="78"/>
    </row>
    <row r="309" spans="2:12" s="13" customFormat="1" ht="18.75">
      <c r="B309" s="53"/>
      <c r="F309" s="120"/>
      <c r="G309" s="120"/>
      <c r="H309" s="120"/>
      <c r="I309" s="120"/>
      <c r="J309" s="120"/>
      <c r="L309" s="78"/>
    </row>
    <row r="310" spans="2:12" s="13" customFormat="1" ht="18.75">
      <c r="B310" s="53"/>
      <c r="F310" s="120"/>
      <c r="G310" s="120"/>
      <c r="H310" s="120"/>
      <c r="I310" s="120"/>
      <c r="J310" s="120"/>
      <c r="L310" s="78"/>
    </row>
    <row r="311" spans="2:12" s="13" customFormat="1" ht="18.75">
      <c r="B311" s="53"/>
      <c r="F311" s="120"/>
      <c r="G311" s="120"/>
      <c r="H311" s="120"/>
      <c r="I311" s="120"/>
      <c r="J311" s="120"/>
      <c r="L311" s="78"/>
    </row>
    <row r="312" spans="2:12" s="13" customFormat="1" ht="18.75">
      <c r="B312" s="53"/>
      <c r="F312" s="120"/>
      <c r="G312" s="120"/>
      <c r="H312" s="120"/>
      <c r="I312" s="120"/>
      <c r="J312" s="120"/>
      <c r="L312" s="78"/>
    </row>
    <row r="313" spans="2:12" s="13" customFormat="1" ht="18.75">
      <c r="B313" s="53"/>
      <c r="F313" s="120"/>
      <c r="G313" s="120"/>
      <c r="H313" s="120"/>
      <c r="I313" s="120"/>
      <c r="J313" s="120"/>
      <c r="L313" s="78"/>
    </row>
    <row r="314" spans="2:12" s="13" customFormat="1" ht="18.75">
      <c r="B314" s="53"/>
      <c r="F314" s="120"/>
      <c r="G314" s="120"/>
      <c r="H314" s="120"/>
      <c r="I314" s="120"/>
      <c r="J314" s="120"/>
      <c r="L314" s="78"/>
    </row>
    <row r="315" spans="2:12" s="13" customFormat="1" ht="18.75">
      <c r="B315" s="53"/>
      <c r="F315" s="120"/>
      <c r="G315" s="120"/>
      <c r="H315" s="120"/>
      <c r="I315" s="120"/>
      <c r="J315" s="120"/>
      <c r="L315" s="78"/>
    </row>
    <row r="316" spans="2:12" s="13" customFormat="1" ht="18.75">
      <c r="B316" s="53"/>
      <c r="F316" s="120"/>
      <c r="G316" s="120"/>
      <c r="H316" s="120"/>
      <c r="I316" s="120"/>
      <c r="J316" s="120"/>
      <c r="L316" s="78"/>
    </row>
    <row r="317" spans="2:12" s="13" customFormat="1" ht="18.75">
      <c r="B317" s="53"/>
      <c r="F317" s="120"/>
      <c r="G317" s="120"/>
      <c r="H317" s="120"/>
      <c r="I317" s="120"/>
      <c r="J317" s="120"/>
      <c r="L317" s="78"/>
    </row>
    <row r="318" spans="2:12" s="13" customFormat="1" ht="18.75">
      <c r="B318" s="53"/>
      <c r="F318" s="120"/>
      <c r="G318" s="120"/>
      <c r="H318" s="120"/>
      <c r="I318" s="120"/>
      <c r="J318" s="120"/>
      <c r="L318" s="78"/>
    </row>
    <row r="319" spans="2:12" s="13" customFormat="1" ht="18.75">
      <c r="B319" s="53"/>
      <c r="F319" s="120"/>
      <c r="G319" s="120"/>
      <c r="H319" s="120"/>
      <c r="I319" s="120"/>
      <c r="J319" s="120"/>
      <c r="L319" s="78"/>
    </row>
    <row r="320" spans="2:12" s="13" customFormat="1" ht="18.75">
      <c r="B320" s="53"/>
      <c r="F320" s="120"/>
      <c r="G320" s="120"/>
      <c r="H320" s="120"/>
      <c r="I320" s="120"/>
      <c r="J320" s="120"/>
      <c r="L320" s="78"/>
    </row>
    <row r="321" spans="2:12" s="13" customFormat="1" ht="18.75">
      <c r="B321" s="53"/>
      <c r="F321" s="120"/>
      <c r="G321" s="120"/>
      <c r="H321" s="120"/>
      <c r="I321" s="120"/>
      <c r="J321" s="120"/>
      <c r="L321" s="78"/>
    </row>
    <row r="322" spans="2:12" s="13" customFormat="1" ht="18.75">
      <c r="B322" s="53"/>
      <c r="F322" s="120"/>
      <c r="G322" s="120"/>
      <c r="H322" s="120"/>
      <c r="I322" s="120"/>
      <c r="J322" s="120"/>
      <c r="L322" s="78"/>
    </row>
    <row r="323" spans="2:12" s="13" customFormat="1" ht="18.75">
      <c r="B323" s="53"/>
      <c r="F323" s="120"/>
      <c r="G323" s="120"/>
      <c r="H323" s="120"/>
      <c r="I323" s="120"/>
      <c r="J323" s="120"/>
      <c r="L323" s="78"/>
    </row>
    <row r="324" spans="11:25" ht="18.75">
      <c r="K324" s="13"/>
      <c r="L324" s="78"/>
      <c r="M324" s="13"/>
      <c r="N324" s="13"/>
      <c r="O324" s="13"/>
      <c r="P324" s="13"/>
      <c r="Q324" s="13"/>
      <c r="R324" s="13"/>
      <c r="S324" s="13"/>
      <c r="T324" s="13"/>
      <c r="U324" s="13"/>
      <c r="V324" s="13"/>
      <c r="W324" s="13"/>
      <c r="X324" s="13"/>
      <c r="Y324" s="13"/>
    </row>
    <row r="325" spans="11:25" ht="18.75">
      <c r="K325" s="13"/>
      <c r="L325" s="78"/>
      <c r="M325" s="13"/>
      <c r="N325" s="13"/>
      <c r="O325" s="13"/>
      <c r="P325" s="13"/>
      <c r="Q325" s="13"/>
      <c r="R325" s="13"/>
      <c r="S325" s="13"/>
      <c r="T325" s="13"/>
      <c r="U325" s="13"/>
      <c r="V325" s="13"/>
      <c r="W325" s="13"/>
      <c r="X325" s="13"/>
      <c r="Y325" s="13"/>
    </row>
    <row r="326" spans="11:25" ht="18.75">
      <c r="K326" s="13"/>
      <c r="L326" s="78"/>
      <c r="M326" s="13"/>
      <c r="N326" s="13"/>
      <c r="O326" s="13"/>
      <c r="P326" s="13"/>
      <c r="Q326" s="13"/>
      <c r="R326" s="13"/>
      <c r="S326" s="13"/>
      <c r="T326" s="13"/>
      <c r="U326" s="13"/>
      <c r="V326" s="13"/>
      <c r="W326" s="13"/>
      <c r="X326" s="13"/>
      <c r="Y326" s="13"/>
    </row>
    <row r="327" spans="11:23" ht="18.75">
      <c r="K327" s="13"/>
      <c r="Q327" s="13"/>
      <c r="R327" s="13"/>
      <c r="S327" s="13"/>
      <c r="T327" s="13"/>
      <c r="U327" s="13"/>
      <c r="V327" s="13"/>
      <c r="W327" s="13"/>
    </row>
    <row r="328" spans="11:23" ht="18.75">
      <c r="K328" s="13"/>
      <c r="Q328" s="13"/>
      <c r="R328" s="13"/>
      <c r="S328" s="13"/>
      <c r="T328" s="13"/>
      <c r="U328" s="13"/>
      <c r="V328" s="13"/>
      <c r="W328" s="13"/>
    </row>
    <row r="329" spans="17:18" ht="18.75">
      <c r="Q329" s="13"/>
      <c r="R329" s="13"/>
    </row>
    <row r="330" spans="17:18" ht="18.75">
      <c r="Q330" s="13"/>
      <c r="R330" s="13"/>
    </row>
    <row r="331" spans="17:18" ht="18.75">
      <c r="Q331" s="13"/>
      <c r="R331" s="13"/>
    </row>
  </sheetData>
  <sheetProtection/>
  <mergeCells count="40">
    <mergeCell ref="B30:B31"/>
    <mergeCell ref="C30:C31"/>
    <mergeCell ref="N115:N117"/>
    <mergeCell ref="P115:P117"/>
    <mergeCell ref="N118:N120"/>
    <mergeCell ref="P118:P120"/>
    <mergeCell ref="D114:F114"/>
    <mergeCell ref="H114:J114"/>
    <mergeCell ref="D115:F115"/>
    <mergeCell ref="H115:J115"/>
    <mergeCell ref="B33:J33"/>
    <mergeCell ref="B34:J34"/>
    <mergeCell ref="N109:N111"/>
    <mergeCell ref="P109:P111"/>
    <mergeCell ref="B107:C107"/>
    <mergeCell ref="N112:N114"/>
    <mergeCell ref="P112:P114"/>
    <mergeCell ref="D30:D31"/>
    <mergeCell ref="E30:E31"/>
    <mergeCell ref="F30:F31"/>
    <mergeCell ref="G30:J30"/>
    <mergeCell ref="C22:F22"/>
    <mergeCell ref="C23:J23"/>
    <mergeCell ref="C24:F24"/>
    <mergeCell ref="C25:F25"/>
    <mergeCell ref="B27:J27"/>
    <mergeCell ref="B28:J28"/>
    <mergeCell ref="C17:F17"/>
    <mergeCell ref="C18:F18"/>
    <mergeCell ref="C19:F19"/>
    <mergeCell ref="C20:F20"/>
    <mergeCell ref="G20:I20"/>
    <mergeCell ref="C21:F21"/>
    <mergeCell ref="G21:I21"/>
    <mergeCell ref="H11:I11"/>
    <mergeCell ref="C13:F13"/>
    <mergeCell ref="I13:J13"/>
    <mergeCell ref="C14:G14"/>
    <mergeCell ref="C15:F15"/>
    <mergeCell ref="C16:F16"/>
  </mergeCells>
  <printOptions/>
  <pageMargins left="0.3937007874015748" right="0.1968503937007874" top="0.3937007874015748" bottom="0.3937007874015748" header="0.1968503937007874" footer="0.1968503937007874"/>
  <pageSetup fitToHeight="0" fitToWidth="1" horizontalDpi="600" verticalDpi="600" orientation="portrait" paperSize="9" scale="15" r:id="rId1"/>
</worksheet>
</file>

<file path=xl/worksheets/sheet4.xml><?xml version="1.0" encoding="utf-8"?>
<worksheet xmlns="http://schemas.openxmlformats.org/spreadsheetml/2006/main" xmlns:r="http://schemas.openxmlformats.org/officeDocument/2006/relationships">
  <sheetPr>
    <pageSetUpPr fitToPage="1"/>
  </sheetPr>
  <dimension ref="A1:AD144"/>
  <sheetViews>
    <sheetView zoomScale="80" zoomScaleNormal="80" zoomScalePageLayoutView="0" workbookViewId="0" topLeftCell="A1">
      <pane xSplit="3" ySplit="1" topLeftCell="F2" activePane="bottomRight" state="frozen"/>
      <selection pane="topLeft" activeCell="A1" sqref="A1"/>
      <selection pane="topRight" activeCell="H1" sqref="H1"/>
      <selection pane="bottomLeft" activeCell="A2" sqref="A2"/>
      <selection pane="bottomRight" activeCell="A1" sqref="A1:G107"/>
    </sheetView>
  </sheetViews>
  <sheetFormatPr defaultColWidth="9.140625" defaultRowHeight="16.5" customHeight="1"/>
  <cols>
    <col min="1" max="1" width="110.8515625" style="144" customWidth="1"/>
    <col min="2" max="2" width="13.7109375" style="144" bestFit="1" customWidth="1"/>
    <col min="3" max="3" width="11.8515625" style="9" customWidth="1"/>
    <col min="4" max="4" width="17.140625" style="9" hidden="1" customWidth="1"/>
    <col min="5" max="5" width="13.7109375" style="9" hidden="1" customWidth="1"/>
    <col min="6" max="6" width="20.28125" style="175" bestFit="1" customWidth="1"/>
    <col min="7" max="7" width="20.28125" style="252" customWidth="1"/>
    <col min="8" max="8" width="19.57421875" style="9" customWidth="1"/>
    <col min="9" max="9" width="18.421875" style="9" customWidth="1"/>
    <col min="10" max="12" width="17.421875" style="9" bestFit="1" customWidth="1"/>
    <col min="13" max="13" width="17.421875" style="62" bestFit="1" customWidth="1"/>
    <col min="14" max="16" width="17.421875" style="9" bestFit="1" customWidth="1"/>
    <col min="17" max="17" width="17.421875" style="62" bestFit="1" customWidth="1"/>
    <col min="18" max="20" width="17.421875" style="9" bestFit="1" customWidth="1"/>
    <col min="21" max="21" width="17.421875" style="62" bestFit="1" customWidth="1"/>
    <col min="22" max="24" width="17.421875" style="9" bestFit="1" customWidth="1"/>
    <col min="25" max="25" width="17.421875" style="62" bestFit="1" customWidth="1"/>
    <col min="26" max="26" width="18.8515625" style="9" bestFit="1" customWidth="1"/>
    <col min="27" max="27" width="35.140625" style="141" bestFit="1" customWidth="1"/>
    <col min="28" max="28" width="27.140625" style="9" bestFit="1" customWidth="1"/>
    <col min="29" max="29" width="9.140625" style="9" customWidth="1"/>
    <col min="30" max="30" width="17.140625" style="9" bestFit="1" customWidth="1"/>
    <col min="31" max="16384" width="9.140625" style="9" customWidth="1"/>
  </cols>
  <sheetData>
    <row r="1" spans="1:26" s="141" customFormat="1" ht="39" thickBot="1">
      <c r="A1" s="136" t="s">
        <v>1</v>
      </c>
      <c r="B1" s="140" t="s">
        <v>341</v>
      </c>
      <c r="C1" s="139" t="s">
        <v>343</v>
      </c>
      <c r="D1" s="138" t="s">
        <v>390</v>
      </c>
      <c r="E1" s="138" t="s">
        <v>58</v>
      </c>
      <c r="F1" s="244" t="s">
        <v>389</v>
      </c>
      <c r="G1" s="245"/>
      <c r="J1" s="209" t="s">
        <v>447</v>
      </c>
      <c r="K1" s="209" t="s">
        <v>448</v>
      </c>
      <c r="L1" s="209" t="s">
        <v>449</v>
      </c>
      <c r="M1" s="211" t="s">
        <v>461</v>
      </c>
      <c r="N1" s="209" t="s">
        <v>450</v>
      </c>
      <c r="O1" s="209" t="s">
        <v>451</v>
      </c>
      <c r="P1" s="209" t="s">
        <v>452</v>
      </c>
      <c r="Q1" s="211" t="s">
        <v>462</v>
      </c>
      <c r="R1" s="209" t="s">
        <v>453</v>
      </c>
      <c r="S1" s="209" t="s">
        <v>454</v>
      </c>
      <c r="T1" s="209" t="s">
        <v>455</v>
      </c>
      <c r="U1" s="211" t="s">
        <v>463</v>
      </c>
      <c r="V1" s="209" t="s">
        <v>456</v>
      </c>
      <c r="W1" s="209" t="s">
        <v>457</v>
      </c>
      <c r="X1" s="209" t="s">
        <v>458</v>
      </c>
      <c r="Y1" s="211" t="s">
        <v>464</v>
      </c>
      <c r="Z1" s="209" t="s">
        <v>465</v>
      </c>
    </row>
    <row r="2" spans="1:27" ht="16.5" customHeight="1">
      <c r="A2" s="218" t="s">
        <v>182</v>
      </c>
      <c r="B2" s="405" t="s">
        <v>215</v>
      </c>
      <c r="C2" s="8" t="s">
        <v>31</v>
      </c>
      <c r="D2" s="167">
        <v>3.263472</v>
      </c>
      <c r="E2" s="9">
        <v>138741.806272</v>
      </c>
      <c r="F2" s="177">
        <f aca="true" t="shared" si="0" ref="F2:F9">D2*E2</f>
        <v>452779.9999980964</v>
      </c>
      <c r="G2" s="246"/>
      <c r="I2" s="208"/>
      <c r="J2" s="210">
        <v>100720</v>
      </c>
      <c r="K2" s="210">
        <v>80000</v>
      </c>
      <c r="L2" s="210">
        <v>75000</v>
      </c>
      <c r="M2" s="212">
        <f>SUM(J2:L2)</f>
        <v>255720</v>
      </c>
      <c r="N2" s="210">
        <v>80000</v>
      </c>
      <c r="O2" s="210">
        <v>15000</v>
      </c>
      <c r="P2" s="210">
        <v>3000</v>
      </c>
      <c r="Q2" s="212">
        <f aca="true" t="shared" si="1" ref="Q2:Q63">SUM(N2:P2)</f>
        <v>98000</v>
      </c>
      <c r="R2" s="210">
        <v>3000</v>
      </c>
      <c r="S2" s="210">
        <v>3000</v>
      </c>
      <c r="T2" s="210">
        <v>3000</v>
      </c>
      <c r="U2" s="212">
        <f aca="true" t="shared" si="2" ref="U2:U63">SUM(R2:T2)</f>
        <v>9000</v>
      </c>
      <c r="V2" s="210">
        <v>20000</v>
      </c>
      <c r="W2" s="210">
        <v>30000</v>
      </c>
      <c r="X2" s="210">
        <v>40060</v>
      </c>
      <c r="Y2" s="212">
        <f aca="true" t="shared" si="3" ref="Y2:Y63">SUM(V2:X2)</f>
        <v>90060</v>
      </c>
      <c r="Z2" s="210">
        <f>M2+Q2+U2+Y2</f>
        <v>452780</v>
      </c>
      <c r="AA2" s="148" t="s">
        <v>325</v>
      </c>
    </row>
    <row r="3" spans="1:27" ht="16.5" customHeight="1">
      <c r="A3" s="218" t="s">
        <v>56</v>
      </c>
      <c r="B3" s="406"/>
      <c r="C3" s="8" t="s">
        <v>57</v>
      </c>
      <c r="D3" s="168">
        <v>8.1886284</v>
      </c>
      <c r="E3" s="9">
        <v>3261.7053983</v>
      </c>
      <c r="F3" s="177">
        <f>D3*E3</f>
        <v>26708.893456952694</v>
      </c>
      <c r="G3" s="246"/>
      <c r="I3" s="208"/>
      <c r="J3" s="210">
        <v>0</v>
      </c>
      <c r="K3" s="210">
        <v>8148.48</v>
      </c>
      <c r="L3" s="210">
        <v>3802.62</v>
      </c>
      <c r="M3" s="212">
        <f aca="true" t="shared" si="4" ref="M3:M64">SUM(J3:L3)</f>
        <v>11951.099999999999</v>
      </c>
      <c r="N3" s="210">
        <v>0</v>
      </c>
      <c r="O3" s="210">
        <v>0</v>
      </c>
      <c r="P3" s="210">
        <v>0</v>
      </c>
      <c r="Q3" s="212">
        <f t="shared" si="1"/>
        <v>0</v>
      </c>
      <c r="R3" s="210">
        <v>0</v>
      </c>
      <c r="S3" s="210">
        <v>0</v>
      </c>
      <c r="T3" s="210">
        <v>0</v>
      </c>
      <c r="U3" s="212">
        <f t="shared" si="2"/>
        <v>0</v>
      </c>
      <c r="V3" s="210">
        <v>1991.85</v>
      </c>
      <c r="W3" s="210">
        <v>5613.39</v>
      </c>
      <c r="X3" s="210">
        <v>7152.55</v>
      </c>
      <c r="Y3" s="212">
        <f t="shared" si="3"/>
        <v>14757.79</v>
      </c>
      <c r="Z3" s="210">
        <f aca="true" t="shared" si="5" ref="Z3:Z64">M3+Q3+U3+Y3</f>
        <v>26708.89</v>
      </c>
      <c r="AA3" s="148" t="s">
        <v>0</v>
      </c>
    </row>
    <row r="4" spans="1:27" ht="16.5" customHeight="1">
      <c r="A4" s="218" t="s">
        <v>54</v>
      </c>
      <c r="B4" s="406"/>
      <c r="C4" s="8" t="s">
        <v>55</v>
      </c>
      <c r="D4" s="166">
        <v>0.85572</v>
      </c>
      <c r="E4" s="9">
        <v>3261.7053983</v>
      </c>
      <c r="F4" s="177">
        <f t="shared" si="0"/>
        <v>2791.1065434332763</v>
      </c>
      <c r="G4" s="246"/>
      <c r="I4" s="220"/>
      <c r="J4" s="210">
        <v>0</v>
      </c>
      <c r="K4" s="210">
        <v>851.52</v>
      </c>
      <c r="L4" s="210">
        <v>397.38</v>
      </c>
      <c r="M4" s="212">
        <f t="shared" si="4"/>
        <v>1248.9</v>
      </c>
      <c r="N4" s="210">
        <v>0</v>
      </c>
      <c r="O4" s="210">
        <v>0</v>
      </c>
      <c r="P4" s="210">
        <v>0</v>
      </c>
      <c r="Q4" s="212">
        <f t="shared" si="1"/>
        <v>0</v>
      </c>
      <c r="R4" s="210">
        <v>0</v>
      </c>
      <c r="S4" s="210">
        <v>0</v>
      </c>
      <c r="T4" s="210">
        <v>0</v>
      </c>
      <c r="U4" s="212">
        <f t="shared" si="2"/>
        <v>0</v>
      </c>
      <c r="V4" s="210">
        <v>208.15</v>
      </c>
      <c r="W4" s="210">
        <v>586.61</v>
      </c>
      <c r="X4" s="210">
        <v>747.45</v>
      </c>
      <c r="Y4" s="212">
        <f t="shared" si="3"/>
        <v>1542.21</v>
      </c>
      <c r="Z4" s="210">
        <f t="shared" si="5"/>
        <v>2791.11</v>
      </c>
      <c r="AA4" s="148" t="s">
        <v>0</v>
      </c>
    </row>
    <row r="5" spans="1:27" ht="16.5" customHeight="1">
      <c r="A5" s="218" t="s">
        <v>33</v>
      </c>
      <c r="B5" s="406"/>
      <c r="C5" s="8" t="s">
        <v>32</v>
      </c>
      <c r="D5" s="165">
        <v>2448.65</v>
      </c>
      <c r="E5" s="9">
        <v>80</v>
      </c>
      <c r="F5" s="177">
        <f>D5*E5</f>
        <v>195892</v>
      </c>
      <c r="G5" s="246"/>
      <c r="I5" s="208"/>
      <c r="J5" s="210">
        <v>7350</v>
      </c>
      <c r="K5" s="210">
        <v>36730</v>
      </c>
      <c r="L5" s="210">
        <v>36730</v>
      </c>
      <c r="M5" s="212">
        <f t="shared" si="4"/>
        <v>80810</v>
      </c>
      <c r="N5" s="210">
        <v>29400</v>
      </c>
      <c r="O5" s="210">
        <v>0</v>
      </c>
      <c r="P5" s="210">
        <v>0</v>
      </c>
      <c r="Q5" s="212">
        <f t="shared" si="1"/>
        <v>29400</v>
      </c>
      <c r="R5" s="210">
        <v>0</v>
      </c>
      <c r="S5" s="210">
        <v>0</v>
      </c>
      <c r="T5" s="210">
        <v>0</v>
      </c>
      <c r="U5" s="212">
        <f t="shared" si="2"/>
        <v>0</v>
      </c>
      <c r="V5" s="210">
        <v>4900</v>
      </c>
      <c r="W5" s="210">
        <v>41630</v>
      </c>
      <c r="X5" s="210">
        <v>39152</v>
      </c>
      <c r="Y5" s="212">
        <f t="shared" si="3"/>
        <v>85682</v>
      </c>
      <c r="Z5" s="210">
        <f t="shared" si="5"/>
        <v>195892</v>
      </c>
      <c r="AA5" s="148" t="s">
        <v>326</v>
      </c>
    </row>
    <row r="6" spans="1:27" ht="16.5" customHeight="1">
      <c r="A6" s="218" t="s">
        <v>35</v>
      </c>
      <c r="B6" s="406"/>
      <c r="C6" s="8" t="s">
        <v>34</v>
      </c>
      <c r="D6" s="165">
        <v>9.72</v>
      </c>
      <c r="E6" s="9">
        <v>850</v>
      </c>
      <c r="F6" s="177">
        <f t="shared" si="0"/>
        <v>8262</v>
      </c>
      <c r="G6" s="246"/>
      <c r="I6" s="208"/>
      <c r="J6" s="210">
        <v>730.51</v>
      </c>
      <c r="K6" s="210">
        <v>681.31</v>
      </c>
      <c r="L6" s="210">
        <v>681.31</v>
      </c>
      <c r="M6" s="212">
        <f t="shared" si="4"/>
        <v>2093.13</v>
      </c>
      <c r="N6" s="210">
        <v>624.53</v>
      </c>
      <c r="O6" s="210">
        <v>719.16</v>
      </c>
      <c r="P6" s="210">
        <v>690.77</v>
      </c>
      <c r="Q6" s="212">
        <f t="shared" si="1"/>
        <v>2034.46</v>
      </c>
      <c r="R6" s="210">
        <v>681.31</v>
      </c>
      <c r="S6" s="210">
        <v>690.77</v>
      </c>
      <c r="T6" s="210">
        <v>681.31</v>
      </c>
      <c r="U6" s="212">
        <f t="shared" si="2"/>
        <v>2053.39</v>
      </c>
      <c r="V6" s="210">
        <v>681.31</v>
      </c>
      <c r="W6" s="210">
        <v>730.51</v>
      </c>
      <c r="X6" s="210">
        <v>669.2</v>
      </c>
      <c r="Y6" s="212">
        <f t="shared" si="3"/>
        <v>2081.02</v>
      </c>
      <c r="Z6" s="210">
        <f t="shared" si="5"/>
        <v>8262</v>
      </c>
      <c r="AA6" s="148" t="s">
        <v>0</v>
      </c>
    </row>
    <row r="7" spans="1:27" ht="16.5" customHeight="1">
      <c r="A7" s="218" t="s">
        <v>37</v>
      </c>
      <c r="B7" s="407"/>
      <c r="C7" s="8" t="s">
        <v>36</v>
      </c>
      <c r="D7" s="165">
        <v>15.96</v>
      </c>
      <c r="E7" s="9">
        <v>850</v>
      </c>
      <c r="F7" s="177">
        <f t="shared" si="0"/>
        <v>13566</v>
      </c>
      <c r="G7" s="246"/>
      <c r="I7" s="208"/>
      <c r="J7" s="210">
        <v>1199.49</v>
      </c>
      <c r="K7" s="210">
        <v>1118.69</v>
      </c>
      <c r="L7" s="210">
        <v>1118.69</v>
      </c>
      <c r="M7" s="212">
        <f t="shared" si="4"/>
        <v>3436.8700000000003</v>
      </c>
      <c r="N7" s="210">
        <v>1025.47</v>
      </c>
      <c r="O7" s="210">
        <v>1180.84</v>
      </c>
      <c r="P7" s="210">
        <v>1134.23</v>
      </c>
      <c r="Q7" s="212">
        <f t="shared" si="1"/>
        <v>3340.54</v>
      </c>
      <c r="R7" s="210">
        <v>1118.69</v>
      </c>
      <c r="S7" s="210">
        <v>1134.23</v>
      </c>
      <c r="T7" s="210">
        <v>1118.69</v>
      </c>
      <c r="U7" s="212">
        <f t="shared" si="2"/>
        <v>3371.61</v>
      </c>
      <c r="V7" s="210">
        <v>1118.69</v>
      </c>
      <c r="W7" s="210">
        <v>1199.49</v>
      </c>
      <c r="X7" s="210">
        <v>1098.8</v>
      </c>
      <c r="Y7" s="212">
        <f t="shared" si="3"/>
        <v>3416.9800000000005</v>
      </c>
      <c r="Z7" s="210">
        <f t="shared" si="5"/>
        <v>13566</v>
      </c>
      <c r="AA7" s="148" t="s">
        <v>0</v>
      </c>
    </row>
    <row r="8" spans="1:27" s="215" customFormat="1" ht="16.5" customHeight="1">
      <c r="A8" s="213"/>
      <c r="B8" s="213"/>
      <c r="C8" s="214"/>
      <c r="F8" s="173">
        <f>SUM(F2:F7)</f>
        <v>699999.9999984824</v>
      </c>
      <c r="G8" s="247"/>
      <c r="J8" s="216">
        <f>SUM(J2:J7)</f>
        <v>110000</v>
      </c>
      <c r="K8" s="216">
        <f>SUM(K2:K7)</f>
        <v>127530</v>
      </c>
      <c r="L8" s="216">
        <f>SUM(L2:L7)</f>
        <v>117730</v>
      </c>
      <c r="M8" s="216">
        <f t="shared" si="4"/>
        <v>355260</v>
      </c>
      <c r="N8" s="216">
        <f>SUM(N2:N7)</f>
        <v>111050</v>
      </c>
      <c r="O8" s="216">
        <f>SUM(O2:O7)</f>
        <v>16900</v>
      </c>
      <c r="P8" s="216">
        <f>SUM(P2:P7)</f>
        <v>4825</v>
      </c>
      <c r="Q8" s="216">
        <f t="shared" si="1"/>
        <v>132775</v>
      </c>
      <c r="R8" s="216">
        <f>SUM(R2:R7)</f>
        <v>4800</v>
      </c>
      <c r="S8" s="216">
        <f>SUM(S2:S7)</f>
        <v>4825</v>
      </c>
      <c r="T8" s="216">
        <f>SUM(T2:T7)</f>
        <v>4800</v>
      </c>
      <c r="U8" s="216">
        <f t="shared" si="2"/>
        <v>14425</v>
      </c>
      <c r="V8" s="216">
        <f>SUM(V2:V7)</f>
        <v>28900</v>
      </c>
      <c r="W8" s="216">
        <f>SUM(W2:W7)</f>
        <v>79760</v>
      </c>
      <c r="X8" s="216">
        <f>SUM(X2:X7)</f>
        <v>88880</v>
      </c>
      <c r="Y8" s="216">
        <f t="shared" si="3"/>
        <v>197540</v>
      </c>
      <c r="Z8" s="216">
        <f t="shared" si="5"/>
        <v>700000</v>
      </c>
      <c r="AA8" s="217"/>
    </row>
    <row r="9" spans="1:27" ht="16.5" customHeight="1">
      <c r="A9" s="218" t="s">
        <v>286</v>
      </c>
      <c r="B9" s="408" t="s">
        <v>191</v>
      </c>
      <c r="C9" s="8" t="s">
        <v>285</v>
      </c>
      <c r="D9" s="9">
        <v>26.38</v>
      </c>
      <c r="E9" s="165">
        <v>13200</v>
      </c>
      <c r="F9" s="177">
        <f t="shared" si="0"/>
        <v>348216</v>
      </c>
      <c r="G9" s="246"/>
      <c r="I9" s="208"/>
      <c r="J9" s="210">
        <v>0</v>
      </c>
      <c r="K9" s="210">
        <v>31656</v>
      </c>
      <c r="L9" s="210">
        <v>26344</v>
      </c>
      <c r="M9" s="212">
        <f t="shared" si="4"/>
        <v>58000</v>
      </c>
      <c r="N9" s="210">
        <v>32300</v>
      </c>
      <c r="O9" s="210">
        <v>32300</v>
      </c>
      <c r="P9" s="210">
        <v>32230</v>
      </c>
      <c r="Q9" s="212">
        <f t="shared" si="1"/>
        <v>96830</v>
      </c>
      <c r="R9" s="210">
        <v>32000</v>
      </c>
      <c r="S9" s="210">
        <v>32000</v>
      </c>
      <c r="T9" s="210">
        <v>32556</v>
      </c>
      <c r="U9" s="212">
        <f t="shared" si="2"/>
        <v>96556</v>
      </c>
      <c r="V9" s="210">
        <v>32230</v>
      </c>
      <c r="W9" s="210">
        <v>32300</v>
      </c>
      <c r="X9" s="210">
        <v>32300</v>
      </c>
      <c r="Y9" s="212">
        <f t="shared" si="3"/>
        <v>96830</v>
      </c>
      <c r="Z9" s="210">
        <f t="shared" si="5"/>
        <v>348216</v>
      </c>
      <c r="AA9" s="148" t="s">
        <v>327</v>
      </c>
    </row>
    <row r="10" spans="1:27" ht="16.5" customHeight="1">
      <c r="A10" s="218" t="s">
        <v>189</v>
      </c>
      <c r="B10" s="407"/>
      <c r="C10" s="8" t="s">
        <v>9</v>
      </c>
      <c r="F10" s="177">
        <v>11784</v>
      </c>
      <c r="G10" s="246"/>
      <c r="I10" s="208"/>
      <c r="J10" s="210">
        <v>0</v>
      </c>
      <c r="K10" s="210">
        <v>1000</v>
      </c>
      <c r="L10" s="210">
        <v>1000</v>
      </c>
      <c r="M10" s="212">
        <f t="shared" si="4"/>
        <v>2000</v>
      </c>
      <c r="N10" s="210">
        <v>1070</v>
      </c>
      <c r="O10" s="210">
        <v>1000</v>
      </c>
      <c r="P10" s="210">
        <v>1100</v>
      </c>
      <c r="Q10" s="212">
        <f t="shared" si="1"/>
        <v>3170</v>
      </c>
      <c r="R10" s="210">
        <v>1070</v>
      </c>
      <c r="S10" s="210">
        <v>1274</v>
      </c>
      <c r="T10" s="210">
        <v>1100</v>
      </c>
      <c r="U10" s="212">
        <f t="shared" si="2"/>
        <v>3444</v>
      </c>
      <c r="V10" s="210">
        <v>1070</v>
      </c>
      <c r="W10" s="210">
        <v>1000</v>
      </c>
      <c r="X10" s="210">
        <v>1100</v>
      </c>
      <c r="Y10" s="212">
        <f t="shared" si="3"/>
        <v>3170</v>
      </c>
      <c r="Z10" s="210">
        <f t="shared" si="5"/>
        <v>11784</v>
      </c>
      <c r="AA10" s="148" t="s">
        <v>0</v>
      </c>
    </row>
    <row r="11" spans="1:27" s="215" customFormat="1" ht="16.5" customHeight="1">
      <c r="A11" s="213"/>
      <c r="B11" s="213"/>
      <c r="C11" s="214"/>
      <c r="F11" s="173">
        <f>SUM(F9:F10)</f>
        <v>360000</v>
      </c>
      <c r="G11" s="247"/>
      <c r="J11" s="216">
        <f>SUM(J9:J10)</f>
        <v>0</v>
      </c>
      <c r="K11" s="216">
        <f>SUM(K9:K10)</f>
        <v>32656</v>
      </c>
      <c r="L11" s="216">
        <f>SUM(L9:L10)</f>
        <v>27344</v>
      </c>
      <c r="M11" s="216">
        <f t="shared" si="4"/>
        <v>60000</v>
      </c>
      <c r="N11" s="216">
        <f>SUM(N9:N10)</f>
        <v>33370</v>
      </c>
      <c r="O11" s="216">
        <f>SUM(O9:O10)</f>
        <v>33300</v>
      </c>
      <c r="P11" s="216">
        <f>SUM(P9:P10)</f>
        <v>33330</v>
      </c>
      <c r="Q11" s="216">
        <f t="shared" si="1"/>
        <v>100000</v>
      </c>
      <c r="R11" s="216">
        <f>SUM(R9:R10)</f>
        <v>33070</v>
      </c>
      <c r="S11" s="216">
        <f>SUM(S9:S10)</f>
        <v>33274</v>
      </c>
      <c r="T11" s="216">
        <f>SUM(T9:T10)</f>
        <v>33656</v>
      </c>
      <c r="U11" s="216">
        <f t="shared" si="2"/>
        <v>100000</v>
      </c>
      <c r="V11" s="216">
        <f>SUM(V9:V10)</f>
        <v>33300</v>
      </c>
      <c r="W11" s="216">
        <f>SUM(W9:W10)</f>
        <v>33300</v>
      </c>
      <c r="X11" s="216">
        <f>SUM(X9:X10)</f>
        <v>33400</v>
      </c>
      <c r="Y11" s="216">
        <f t="shared" si="3"/>
        <v>100000</v>
      </c>
      <c r="Z11" s="216">
        <f t="shared" si="5"/>
        <v>360000</v>
      </c>
      <c r="AA11" s="217"/>
    </row>
    <row r="12" spans="1:27" ht="16.5" customHeight="1">
      <c r="A12" s="218" t="s">
        <v>222</v>
      </c>
      <c r="B12" s="8">
        <v>300</v>
      </c>
      <c r="C12" s="8" t="s">
        <v>221</v>
      </c>
      <c r="F12" s="177">
        <v>15000</v>
      </c>
      <c r="G12" s="246"/>
      <c r="I12" s="208"/>
      <c r="J12" s="210">
        <v>0</v>
      </c>
      <c r="K12" s="210">
        <v>0</v>
      </c>
      <c r="L12" s="210">
        <v>0</v>
      </c>
      <c r="M12" s="212">
        <f t="shared" si="4"/>
        <v>0</v>
      </c>
      <c r="N12" s="210">
        <v>0</v>
      </c>
      <c r="O12" s="210">
        <v>0</v>
      </c>
      <c r="P12" s="210">
        <v>0</v>
      </c>
      <c r="Q12" s="212">
        <f t="shared" si="1"/>
        <v>0</v>
      </c>
      <c r="R12" s="210">
        <v>0</v>
      </c>
      <c r="S12" s="210">
        <v>0</v>
      </c>
      <c r="T12" s="210">
        <v>0</v>
      </c>
      <c r="U12" s="212">
        <f t="shared" si="2"/>
        <v>0</v>
      </c>
      <c r="V12" s="210">
        <v>0</v>
      </c>
      <c r="W12" s="210">
        <v>0</v>
      </c>
      <c r="X12" s="210">
        <v>15000</v>
      </c>
      <c r="Y12" s="212">
        <f t="shared" si="3"/>
        <v>15000</v>
      </c>
      <c r="Z12" s="210">
        <f t="shared" si="5"/>
        <v>15000</v>
      </c>
      <c r="AA12" s="148" t="s">
        <v>0</v>
      </c>
    </row>
    <row r="13" spans="1:27" s="215" customFormat="1" ht="16.5" customHeight="1">
      <c r="A13" s="213"/>
      <c r="B13" s="213"/>
      <c r="C13" s="214"/>
      <c r="F13" s="173">
        <f>SUM(F12)</f>
        <v>15000</v>
      </c>
      <c r="G13" s="247"/>
      <c r="J13" s="216">
        <f aca="true" t="shared" si="6" ref="J13:P13">SUM(J12)</f>
        <v>0</v>
      </c>
      <c r="K13" s="216">
        <f t="shared" si="6"/>
        <v>0</v>
      </c>
      <c r="L13" s="216">
        <f t="shared" si="6"/>
        <v>0</v>
      </c>
      <c r="M13" s="216">
        <f t="shared" si="6"/>
        <v>0</v>
      </c>
      <c r="N13" s="216">
        <f t="shared" si="6"/>
        <v>0</v>
      </c>
      <c r="O13" s="216">
        <f t="shared" si="6"/>
        <v>0</v>
      </c>
      <c r="P13" s="216">
        <f t="shared" si="6"/>
        <v>0</v>
      </c>
      <c r="Q13" s="216"/>
      <c r="R13" s="216">
        <f>SUM(R12)</f>
        <v>0</v>
      </c>
      <c r="S13" s="216">
        <f>SUM(S12)</f>
        <v>0</v>
      </c>
      <c r="T13" s="216">
        <f>SUM(T12)</f>
        <v>0</v>
      </c>
      <c r="U13" s="216"/>
      <c r="V13" s="216">
        <f>SUM(V12)</f>
        <v>0</v>
      </c>
      <c r="W13" s="216">
        <f>SUM(W12)</f>
        <v>0</v>
      </c>
      <c r="X13" s="216">
        <f>SUM(X12)</f>
        <v>15000</v>
      </c>
      <c r="Y13" s="216"/>
      <c r="Z13" s="216"/>
      <c r="AA13" s="217"/>
    </row>
    <row r="14" spans="1:27" ht="16.5" customHeight="1">
      <c r="A14" s="218" t="s">
        <v>41</v>
      </c>
      <c r="B14" s="237"/>
      <c r="C14" s="8" t="s">
        <v>12</v>
      </c>
      <c r="F14" s="177">
        <v>10000</v>
      </c>
      <c r="G14" s="246"/>
      <c r="I14" s="208"/>
      <c r="J14" s="210"/>
      <c r="K14" s="210"/>
      <c r="L14" s="210"/>
      <c r="M14" s="212">
        <f t="shared" si="4"/>
        <v>0</v>
      </c>
      <c r="N14" s="210">
        <v>1875</v>
      </c>
      <c r="O14" s="210">
        <v>1875</v>
      </c>
      <c r="P14" s="210">
        <f>1250+1250</f>
        <v>2500</v>
      </c>
      <c r="Q14" s="212">
        <f t="shared" si="1"/>
        <v>6250</v>
      </c>
      <c r="R14" s="210"/>
      <c r="S14" s="210">
        <v>1250</v>
      </c>
      <c r="T14" s="210">
        <v>1250</v>
      </c>
      <c r="U14" s="212">
        <f t="shared" si="2"/>
        <v>2500</v>
      </c>
      <c r="V14" s="210">
        <v>1250</v>
      </c>
      <c r="W14" s="210"/>
      <c r="X14" s="210"/>
      <c r="Y14" s="212">
        <f t="shared" si="3"/>
        <v>1250</v>
      </c>
      <c r="Z14" s="210">
        <f t="shared" si="5"/>
        <v>10000</v>
      </c>
      <c r="AA14" s="148" t="s">
        <v>0</v>
      </c>
    </row>
    <row r="15" spans="1:27" ht="16.5" customHeight="1">
      <c r="A15" s="236" t="s">
        <v>479</v>
      </c>
      <c r="B15" s="198"/>
      <c r="C15" s="8" t="s">
        <v>478</v>
      </c>
      <c r="F15" s="177">
        <v>1400</v>
      </c>
      <c r="G15" s="246"/>
      <c r="I15" s="208"/>
      <c r="J15" s="210"/>
      <c r="K15" s="210">
        <v>1400</v>
      </c>
      <c r="L15" s="210"/>
      <c r="M15" s="212">
        <f t="shared" si="4"/>
        <v>1400</v>
      </c>
      <c r="N15" s="210"/>
      <c r="O15" s="210"/>
      <c r="P15" s="210"/>
      <c r="Q15" s="212">
        <f t="shared" si="1"/>
        <v>0</v>
      </c>
      <c r="R15" s="210"/>
      <c r="S15" s="210"/>
      <c r="T15" s="210"/>
      <c r="U15" s="212">
        <f t="shared" si="2"/>
        <v>0</v>
      </c>
      <c r="V15" s="210"/>
      <c r="W15" s="210"/>
      <c r="X15" s="210"/>
      <c r="Y15" s="212">
        <f t="shared" si="3"/>
        <v>0</v>
      </c>
      <c r="Z15" s="210">
        <f t="shared" si="5"/>
        <v>1400</v>
      </c>
      <c r="AA15" s="148"/>
    </row>
    <row r="16" spans="1:27" ht="16.5" customHeight="1">
      <c r="A16" s="218" t="s">
        <v>14</v>
      </c>
      <c r="B16" s="198"/>
      <c r="C16" s="8" t="s">
        <v>13</v>
      </c>
      <c r="F16" s="177">
        <v>2000</v>
      </c>
      <c r="G16" s="246"/>
      <c r="I16" s="208"/>
      <c r="J16" s="210"/>
      <c r="K16" s="210"/>
      <c r="L16" s="210"/>
      <c r="M16" s="212">
        <f t="shared" si="4"/>
        <v>0</v>
      </c>
      <c r="N16" s="210">
        <v>1000</v>
      </c>
      <c r="O16" s="210"/>
      <c r="P16" s="210"/>
      <c r="Q16" s="212">
        <f t="shared" si="1"/>
        <v>1000</v>
      </c>
      <c r="R16" s="210"/>
      <c r="S16" s="210">
        <v>1000</v>
      </c>
      <c r="T16" s="210"/>
      <c r="U16" s="212">
        <f t="shared" si="2"/>
        <v>1000</v>
      </c>
      <c r="V16" s="210"/>
      <c r="W16" s="210"/>
      <c r="X16" s="210"/>
      <c r="Y16" s="212">
        <f t="shared" si="3"/>
        <v>0</v>
      </c>
      <c r="Z16" s="210">
        <f t="shared" si="5"/>
        <v>2000</v>
      </c>
      <c r="AA16" s="148" t="s">
        <v>0</v>
      </c>
    </row>
    <row r="17" spans="1:27" ht="16.5" customHeight="1">
      <c r="A17" s="218" t="s">
        <v>226</v>
      </c>
      <c r="B17" s="198"/>
      <c r="C17" s="8" t="s">
        <v>223</v>
      </c>
      <c r="F17" s="177">
        <v>45000</v>
      </c>
      <c r="G17" s="246"/>
      <c r="I17" s="208"/>
      <c r="J17" s="210">
        <f aca="true" t="shared" si="7" ref="J17:L18">3750+2650</f>
        <v>6400</v>
      </c>
      <c r="K17" s="210">
        <v>1600</v>
      </c>
      <c r="L17" s="210">
        <v>1600</v>
      </c>
      <c r="M17" s="212">
        <f t="shared" si="4"/>
        <v>9600</v>
      </c>
      <c r="N17" s="210">
        <f>3750+1600</f>
        <v>5350</v>
      </c>
      <c r="O17" s="210">
        <v>3750</v>
      </c>
      <c r="P17" s="210">
        <v>3750</v>
      </c>
      <c r="Q17" s="212">
        <f t="shared" si="1"/>
        <v>12850</v>
      </c>
      <c r="R17" s="210">
        <v>3200</v>
      </c>
      <c r="S17" s="210">
        <v>3000</v>
      </c>
      <c r="T17" s="210">
        <v>3100</v>
      </c>
      <c r="U17" s="212">
        <f t="shared" si="2"/>
        <v>9300</v>
      </c>
      <c r="V17" s="210">
        <v>4150</v>
      </c>
      <c r="W17" s="210">
        <v>4600</v>
      </c>
      <c r="X17" s="210">
        <v>4500</v>
      </c>
      <c r="Y17" s="212">
        <f t="shared" si="3"/>
        <v>13250</v>
      </c>
      <c r="Z17" s="210">
        <f t="shared" si="5"/>
        <v>45000</v>
      </c>
      <c r="AA17" s="148" t="s">
        <v>0</v>
      </c>
    </row>
    <row r="18" spans="1:27" ht="16.5" customHeight="1">
      <c r="A18" s="218" t="s">
        <v>225</v>
      </c>
      <c r="B18" s="198"/>
      <c r="C18" s="8" t="s">
        <v>23</v>
      </c>
      <c r="F18" s="177">
        <v>45000</v>
      </c>
      <c r="G18" s="246"/>
      <c r="I18" s="208"/>
      <c r="J18" s="210">
        <v>1400</v>
      </c>
      <c r="K18" s="210">
        <f t="shared" si="7"/>
        <v>6400</v>
      </c>
      <c r="L18" s="210">
        <f t="shared" si="7"/>
        <v>6400</v>
      </c>
      <c r="M18" s="212">
        <f t="shared" si="4"/>
        <v>14200</v>
      </c>
      <c r="N18" s="210">
        <v>4750</v>
      </c>
      <c r="O18" s="210">
        <v>4750</v>
      </c>
      <c r="P18" s="210">
        <v>4750</v>
      </c>
      <c r="Q18" s="212">
        <f t="shared" si="1"/>
        <v>14250</v>
      </c>
      <c r="R18" s="210">
        <v>2000</v>
      </c>
      <c r="S18" s="210">
        <v>1450</v>
      </c>
      <c r="T18" s="210">
        <v>1450</v>
      </c>
      <c r="U18" s="212">
        <f t="shared" si="2"/>
        <v>4900</v>
      </c>
      <c r="V18" s="210">
        <v>4150</v>
      </c>
      <c r="W18" s="210">
        <v>3750</v>
      </c>
      <c r="X18" s="210">
        <v>3750</v>
      </c>
      <c r="Y18" s="212">
        <f t="shared" si="3"/>
        <v>11650</v>
      </c>
      <c r="Z18" s="210">
        <f t="shared" si="5"/>
        <v>45000</v>
      </c>
      <c r="AA18" s="148" t="s">
        <v>0</v>
      </c>
    </row>
    <row r="19" spans="1:27" ht="16.5" customHeight="1">
      <c r="A19" s="218" t="s">
        <v>227</v>
      </c>
      <c r="B19" s="198"/>
      <c r="C19" s="8" t="s">
        <v>224</v>
      </c>
      <c r="F19" s="177">
        <v>1500</v>
      </c>
      <c r="G19" s="246"/>
      <c r="I19" s="208"/>
      <c r="J19" s="210">
        <v>0</v>
      </c>
      <c r="K19" s="210">
        <v>0</v>
      </c>
      <c r="L19" s="210">
        <v>0</v>
      </c>
      <c r="M19" s="212">
        <f t="shared" si="4"/>
        <v>0</v>
      </c>
      <c r="N19" s="210">
        <v>0</v>
      </c>
      <c r="O19" s="210">
        <v>0</v>
      </c>
      <c r="P19" s="210">
        <v>0</v>
      </c>
      <c r="Q19" s="212">
        <f t="shared" si="1"/>
        <v>0</v>
      </c>
      <c r="R19" s="210">
        <v>0</v>
      </c>
      <c r="S19" s="210">
        <v>0</v>
      </c>
      <c r="T19" s="210">
        <v>0</v>
      </c>
      <c r="U19" s="212">
        <f t="shared" si="2"/>
        <v>0</v>
      </c>
      <c r="V19" s="210">
        <v>1500</v>
      </c>
      <c r="W19" s="210">
        <v>0</v>
      </c>
      <c r="X19" s="210">
        <v>0</v>
      </c>
      <c r="Y19" s="212">
        <f t="shared" si="3"/>
        <v>1500</v>
      </c>
      <c r="Z19" s="210">
        <f t="shared" si="5"/>
        <v>1500</v>
      </c>
      <c r="AA19" s="148" t="s">
        <v>0</v>
      </c>
    </row>
    <row r="20" spans="1:27" ht="16.5" customHeight="1">
      <c r="A20" s="218" t="s">
        <v>272</v>
      </c>
      <c r="B20" s="198"/>
      <c r="C20" s="8" t="s">
        <v>271</v>
      </c>
      <c r="F20" s="177">
        <v>10000</v>
      </c>
      <c r="G20" s="246"/>
      <c r="I20" s="208"/>
      <c r="J20" s="210">
        <v>0</v>
      </c>
      <c r="K20" s="210">
        <v>1000</v>
      </c>
      <c r="L20" s="210">
        <v>1000</v>
      </c>
      <c r="M20" s="212">
        <f t="shared" si="4"/>
        <v>2000</v>
      </c>
      <c r="N20" s="210">
        <v>1000</v>
      </c>
      <c r="O20" s="210">
        <v>1000</v>
      </c>
      <c r="P20" s="210">
        <v>1000</v>
      </c>
      <c r="Q20" s="212">
        <f t="shared" si="1"/>
        <v>3000</v>
      </c>
      <c r="R20" s="210">
        <v>0</v>
      </c>
      <c r="S20" s="210">
        <v>1000</v>
      </c>
      <c r="T20" s="210">
        <v>1000</v>
      </c>
      <c r="U20" s="212">
        <f t="shared" si="2"/>
        <v>2000</v>
      </c>
      <c r="V20" s="210">
        <v>1000</v>
      </c>
      <c r="W20" s="210">
        <v>1000</v>
      </c>
      <c r="X20" s="210">
        <v>1000</v>
      </c>
      <c r="Y20" s="212">
        <f t="shared" si="3"/>
        <v>3000</v>
      </c>
      <c r="Z20" s="210">
        <f t="shared" si="5"/>
        <v>10000</v>
      </c>
      <c r="AA20" s="148" t="s">
        <v>0</v>
      </c>
    </row>
    <row r="21" spans="1:27" ht="16.5" customHeight="1">
      <c r="A21" s="236" t="s">
        <v>282</v>
      </c>
      <c r="B21" s="198"/>
      <c r="C21" s="8" t="s">
        <v>228</v>
      </c>
      <c r="F21" s="235">
        <v>25000</v>
      </c>
      <c r="G21" s="248"/>
      <c r="I21" s="208"/>
      <c r="J21" s="210">
        <v>0</v>
      </c>
      <c r="K21" s="210">
        <v>0</v>
      </c>
      <c r="L21" s="210">
        <v>2200</v>
      </c>
      <c r="M21" s="212">
        <f t="shared" si="4"/>
        <v>2200</v>
      </c>
      <c r="N21" s="210">
        <v>3400</v>
      </c>
      <c r="O21" s="210">
        <v>3400</v>
      </c>
      <c r="P21" s="210">
        <v>2200</v>
      </c>
      <c r="Q21" s="212">
        <f t="shared" si="1"/>
        <v>9000</v>
      </c>
      <c r="R21" s="210">
        <v>2300</v>
      </c>
      <c r="S21" s="210">
        <v>2300</v>
      </c>
      <c r="T21" s="210">
        <v>2300</v>
      </c>
      <c r="U21" s="212">
        <f t="shared" si="2"/>
        <v>6900</v>
      </c>
      <c r="V21" s="210">
        <v>2300</v>
      </c>
      <c r="W21" s="210">
        <v>2300</v>
      </c>
      <c r="X21" s="210">
        <v>2300</v>
      </c>
      <c r="Y21" s="212">
        <f t="shared" si="3"/>
        <v>6900</v>
      </c>
      <c r="Z21" s="210">
        <f t="shared" si="5"/>
        <v>25000</v>
      </c>
      <c r="AA21" s="148" t="s">
        <v>0</v>
      </c>
    </row>
    <row r="22" spans="1:27" ht="16.5" customHeight="1">
      <c r="A22" s="218" t="s">
        <v>283</v>
      </c>
      <c r="B22" s="198"/>
      <c r="C22" s="8" t="s">
        <v>229</v>
      </c>
      <c r="F22" s="177">
        <v>45000</v>
      </c>
      <c r="G22" s="246"/>
      <c r="I22" s="208"/>
      <c r="J22" s="210">
        <v>0</v>
      </c>
      <c r="K22" s="210">
        <v>3000</v>
      </c>
      <c r="L22" s="210">
        <v>1500</v>
      </c>
      <c r="M22" s="212">
        <f t="shared" si="4"/>
        <v>4500</v>
      </c>
      <c r="N22" s="210">
        <v>3000</v>
      </c>
      <c r="O22" s="210">
        <v>3000</v>
      </c>
      <c r="P22" s="210">
        <v>3000</v>
      </c>
      <c r="Q22" s="212">
        <f t="shared" si="1"/>
        <v>9000</v>
      </c>
      <c r="R22" s="210">
        <v>3000</v>
      </c>
      <c r="S22" s="210">
        <v>3000</v>
      </c>
      <c r="T22" s="210">
        <v>3000</v>
      </c>
      <c r="U22" s="212">
        <f t="shared" si="2"/>
        <v>9000</v>
      </c>
      <c r="V22" s="210">
        <v>15000</v>
      </c>
      <c r="W22" s="210">
        <v>4500</v>
      </c>
      <c r="X22" s="210">
        <v>3000</v>
      </c>
      <c r="Y22" s="212">
        <f t="shared" si="3"/>
        <v>22500</v>
      </c>
      <c r="Z22" s="210">
        <f t="shared" si="5"/>
        <v>45000</v>
      </c>
      <c r="AA22" s="148" t="s">
        <v>0</v>
      </c>
    </row>
    <row r="23" spans="1:27" ht="16.5" customHeight="1">
      <c r="A23" s="236" t="s">
        <v>15</v>
      </c>
      <c r="B23" s="198"/>
      <c r="C23" s="8" t="s">
        <v>230</v>
      </c>
      <c r="F23" s="235">
        <f>20000+15000-8000</f>
        <v>27000</v>
      </c>
      <c r="G23" s="248"/>
      <c r="H23" s="9" t="s">
        <v>491</v>
      </c>
      <c r="I23" s="208"/>
      <c r="J23" s="210">
        <v>0</v>
      </c>
      <c r="K23" s="210">
        <v>20300</v>
      </c>
      <c r="L23" s="210">
        <v>0</v>
      </c>
      <c r="M23" s="212">
        <f t="shared" si="4"/>
        <v>20300</v>
      </c>
      <c r="N23" s="210">
        <v>3750</v>
      </c>
      <c r="O23" s="210">
        <v>0</v>
      </c>
      <c r="P23" s="210">
        <v>0</v>
      </c>
      <c r="Q23" s="212">
        <f t="shared" si="1"/>
        <v>3750</v>
      </c>
      <c r="R23" s="210">
        <v>2950</v>
      </c>
      <c r="S23" s="210">
        <v>0</v>
      </c>
      <c r="T23" s="210">
        <v>0</v>
      </c>
      <c r="U23" s="212">
        <f t="shared" si="2"/>
        <v>2950</v>
      </c>
      <c r="V23" s="210">
        <v>0</v>
      </c>
      <c r="W23" s="210">
        <v>0</v>
      </c>
      <c r="X23" s="210">
        <v>0</v>
      </c>
      <c r="Y23" s="212">
        <f t="shared" si="3"/>
        <v>0</v>
      </c>
      <c r="Z23" s="210">
        <f t="shared" si="5"/>
        <v>27000</v>
      </c>
      <c r="AA23" s="148" t="s">
        <v>0</v>
      </c>
    </row>
    <row r="24" spans="1:27" ht="16.5" customHeight="1">
      <c r="A24" s="236" t="s">
        <v>232</v>
      </c>
      <c r="B24" s="198"/>
      <c r="C24" s="8" t="s">
        <v>231</v>
      </c>
      <c r="F24" s="235">
        <v>13000</v>
      </c>
      <c r="G24" s="248"/>
      <c r="I24" s="208"/>
      <c r="J24" s="210">
        <v>1200</v>
      </c>
      <c r="K24" s="210">
        <v>3300</v>
      </c>
      <c r="L24" s="210">
        <v>0</v>
      </c>
      <c r="M24" s="212">
        <f t="shared" si="4"/>
        <v>4500</v>
      </c>
      <c r="N24" s="210">
        <v>3500</v>
      </c>
      <c r="O24" s="210">
        <v>0</v>
      </c>
      <c r="P24" s="210">
        <v>0</v>
      </c>
      <c r="Q24" s="212">
        <f t="shared" si="1"/>
        <v>3500</v>
      </c>
      <c r="R24" s="210">
        <v>0</v>
      </c>
      <c r="S24" s="210">
        <v>5000</v>
      </c>
      <c r="T24" s="210">
        <v>0</v>
      </c>
      <c r="U24" s="212">
        <f t="shared" si="2"/>
        <v>5000</v>
      </c>
      <c r="V24" s="210">
        <v>0</v>
      </c>
      <c r="W24" s="210">
        <v>0</v>
      </c>
      <c r="X24" s="210">
        <v>0</v>
      </c>
      <c r="Y24" s="212">
        <f t="shared" si="3"/>
        <v>0</v>
      </c>
      <c r="Z24" s="210">
        <f t="shared" si="5"/>
        <v>13000</v>
      </c>
      <c r="AA24" s="148" t="s">
        <v>0</v>
      </c>
    </row>
    <row r="25" spans="1:27" ht="16.5" customHeight="1">
      <c r="A25" s="218" t="s">
        <v>233</v>
      </c>
      <c r="B25" s="198"/>
      <c r="C25" s="8" t="s">
        <v>234</v>
      </c>
      <c r="F25" s="177">
        <v>3000</v>
      </c>
      <c r="G25" s="246"/>
      <c r="I25" s="208"/>
      <c r="J25" s="210">
        <v>0</v>
      </c>
      <c r="K25" s="210">
        <v>0</v>
      </c>
      <c r="L25" s="210">
        <v>3000</v>
      </c>
      <c r="M25" s="212">
        <f t="shared" si="4"/>
        <v>3000</v>
      </c>
      <c r="N25" s="210">
        <v>0</v>
      </c>
      <c r="O25" s="210">
        <v>0</v>
      </c>
      <c r="P25" s="210">
        <v>0</v>
      </c>
      <c r="Q25" s="212">
        <f t="shared" si="1"/>
        <v>0</v>
      </c>
      <c r="R25" s="210">
        <v>0</v>
      </c>
      <c r="S25" s="210">
        <v>0</v>
      </c>
      <c r="T25" s="210">
        <v>0</v>
      </c>
      <c r="U25" s="212">
        <f t="shared" si="2"/>
        <v>0</v>
      </c>
      <c r="V25" s="210">
        <v>0</v>
      </c>
      <c r="W25" s="210">
        <v>0</v>
      </c>
      <c r="X25" s="210">
        <v>0</v>
      </c>
      <c r="Y25" s="212">
        <f t="shared" si="3"/>
        <v>0</v>
      </c>
      <c r="Z25" s="210">
        <f t="shared" si="5"/>
        <v>3000</v>
      </c>
      <c r="AA25" s="148" t="s">
        <v>0</v>
      </c>
    </row>
    <row r="26" spans="1:27" ht="16.5" customHeight="1">
      <c r="A26" s="218" t="s">
        <v>428</v>
      </c>
      <c r="B26" s="198"/>
      <c r="C26" s="8" t="s">
        <v>329</v>
      </c>
      <c r="F26" s="177">
        <v>3000</v>
      </c>
      <c r="G26" s="246"/>
      <c r="I26" s="208"/>
      <c r="J26" s="210">
        <v>0</v>
      </c>
      <c r="K26" s="210">
        <v>2000</v>
      </c>
      <c r="L26" s="210">
        <v>0</v>
      </c>
      <c r="M26" s="212">
        <f t="shared" si="4"/>
        <v>2000</v>
      </c>
      <c r="N26" s="210">
        <v>0</v>
      </c>
      <c r="O26" s="210">
        <v>0</v>
      </c>
      <c r="P26" s="210">
        <v>0</v>
      </c>
      <c r="Q26" s="212">
        <f t="shared" si="1"/>
        <v>0</v>
      </c>
      <c r="R26" s="210">
        <v>0</v>
      </c>
      <c r="S26" s="210">
        <v>0</v>
      </c>
      <c r="T26" s="210">
        <v>1000</v>
      </c>
      <c r="U26" s="212">
        <f t="shared" si="2"/>
        <v>1000</v>
      </c>
      <c r="V26" s="210">
        <v>0</v>
      </c>
      <c r="W26" s="210">
        <v>0</v>
      </c>
      <c r="X26" s="210">
        <v>0</v>
      </c>
      <c r="Y26" s="212">
        <f t="shared" si="3"/>
        <v>0</v>
      </c>
      <c r="Z26" s="210">
        <f t="shared" si="5"/>
        <v>3000</v>
      </c>
      <c r="AA26" s="148" t="s">
        <v>0</v>
      </c>
    </row>
    <row r="27" spans="1:27" ht="16.5" customHeight="1">
      <c r="A27" s="218" t="s">
        <v>429</v>
      </c>
      <c r="B27" s="198"/>
      <c r="C27" s="8" t="s">
        <v>237</v>
      </c>
      <c r="F27" s="177">
        <v>7000</v>
      </c>
      <c r="G27" s="246"/>
      <c r="I27" s="208"/>
      <c r="J27" s="210">
        <v>0</v>
      </c>
      <c r="K27" s="210">
        <v>2000</v>
      </c>
      <c r="L27" s="210">
        <v>2000</v>
      </c>
      <c r="M27" s="212">
        <f t="shared" si="4"/>
        <v>4000</v>
      </c>
      <c r="N27" s="210">
        <v>0</v>
      </c>
      <c r="O27" s="210">
        <v>0</v>
      </c>
      <c r="P27" s="210">
        <v>0</v>
      </c>
      <c r="Q27" s="212">
        <f t="shared" si="1"/>
        <v>0</v>
      </c>
      <c r="R27" s="210">
        <v>0</v>
      </c>
      <c r="S27" s="210">
        <v>1500</v>
      </c>
      <c r="T27" s="210">
        <v>0</v>
      </c>
      <c r="U27" s="212">
        <f t="shared" si="2"/>
        <v>1500</v>
      </c>
      <c r="V27" s="210">
        <v>0</v>
      </c>
      <c r="W27" s="210">
        <v>1500</v>
      </c>
      <c r="X27" s="210">
        <v>0</v>
      </c>
      <c r="Y27" s="212">
        <f t="shared" si="3"/>
        <v>1500</v>
      </c>
      <c r="Z27" s="210">
        <f t="shared" si="5"/>
        <v>7000</v>
      </c>
      <c r="AA27" s="148" t="s">
        <v>0</v>
      </c>
    </row>
    <row r="28" spans="1:27" ht="16.5" customHeight="1">
      <c r="A28" s="218" t="s">
        <v>17</v>
      </c>
      <c r="B28" s="198"/>
      <c r="C28" s="8" t="s">
        <v>16</v>
      </c>
      <c r="F28" s="177">
        <v>3500</v>
      </c>
      <c r="G28" s="246"/>
      <c r="I28" s="208"/>
      <c r="J28" s="210"/>
      <c r="K28" s="210">
        <v>350</v>
      </c>
      <c r="L28" s="210">
        <v>350</v>
      </c>
      <c r="M28" s="212">
        <f t="shared" si="4"/>
        <v>700</v>
      </c>
      <c r="N28" s="210">
        <v>350</v>
      </c>
      <c r="O28" s="210">
        <v>350</v>
      </c>
      <c r="P28" s="210"/>
      <c r="Q28" s="212">
        <f t="shared" si="1"/>
        <v>700</v>
      </c>
      <c r="R28" s="210">
        <v>350</v>
      </c>
      <c r="S28" s="210">
        <v>350</v>
      </c>
      <c r="T28" s="210">
        <v>350</v>
      </c>
      <c r="U28" s="212">
        <f t="shared" si="2"/>
        <v>1050</v>
      </c>
      <c r="V28" s="210">
        <v>350</v>
      </c>
      <c r="W28" s="210">
        <v>350</v>
      </c>
      <c r="X28" s="210">
        <v>350</v>
      </c>
      <c r="Y28" s="212">
        <f t="shared" si="3"/>
        <v>1050</v>
      </c>
      <c r="Z28" s="210">
        <f t="shared" si="5"/>
        <v>3500</v>
      </c>
      <c r="AA28" s="148" t="s">
        <v>0</v>
      </c>
    </row>
    <row r="29" spans="1:27" ht="16.5" customHeight="1">
      <c r="A29" s="218" t="s">
        <v>240</v>
      </c>
      <c r="B29" s="198"/>
      <c r="C29" s="8" t="s">
        <v>239</v>
      </c>
      <c r="D29" s="154"/>
      <c r="E29" s="154"/>
      <c r="F29" s="177">
        <v>2500</v>
      </c>
      <c r="G29" s="246"/>
      <c r="I29" s="208"/>
      <c r="J29" s="210"/>
      <c r="K29" s="210"/>
      <c r="L29" s="210">
        <v>625</v>
      </c>
      <c r="M29" s="212">
        <f t="shared" si="4"/>
        <v>625</v>
      </c>
      <c r="N29" s="210"/>
      <c r="O29" s="210"/>
      <c r="P29" s="210">
        <v>625</v>
      </c>
      <c r="Q29" s="212">
        <f t="shared" si="1"/>
        <v>625</v>
      </c>
      <c r="R29" s="210"/>
      <c r="S29" s="210"/>
      <c r="T29" s="210">
        <v>625</v>
      </c>
      <c r="U29" s="212">
        <f t="shared" si="2"/>
        <v>625</v>
      </c>
      <c r="V29" s="210"/>
      <c r="W29" s="210">
        <v>625</v>
      </c>
      <c r="X29" s="210"/>
      <c r="Y29" s="212">
        <f t="shared" si="3"/>
        <v>625</v>
      </c>
      <c r="Z29" s="210">
        <f t="shared" si="5"/>
        <v>2500</v>
      </c>
      <c r="AA29" s="148" t="s">
        <v>0</v>
      </c>
    </row>
    <row r="30" spans="1:27" ht="16.5" customHeight="1">
      <c r="A30" s="218" t="s">
        <v>242</v>
      </c>
      <c r="B30" s="198"/>
      <c r="C30" s="8" t="s">
        <v>241</v>
      </c>
      <c r="F30" s="177">
        <v>15000</v>
      </c>
      <c r="G30" s="246"/>
      <c r="I30" s="208"/>
      <c r="J30" s="210"/>
      <c r="K30" s="210">
        <v>3750</v>
      </c>
      <c r="L30" s="210"/>
      <c r="M30" s="212">
        <f t="shared" si="4"/>
        <v>3750</v>
      </c>
      <c r="N30" s="210"/>
      <c r="O30" s="210">
        <v>3750</v>
      </c>
      <c r="P30" s="210"/>
      <c r="Q30" s="212">
        <f t="shared" si="1"/>
        <v>3750</v>
      </c>
      <c r="R30" s="210"/>
      <c r="S30" s="210"/>
      <c r="T30" s="210">
        <v>3750</v>
      </c>
      <c r="U30" s="212">
        <f t="shared" si="2"/>
        <v>3750</v>
      </c>
      <c r="V30" s="210">
        <v>3750</v>
      </c>
      <c r="W30" s="210"/>
      <c r="X30" s="210"/>
      <c r="Y30" s="212">
        <f t="shared" si="3"/>
        <v>3750</v>
      </c>
      <c r="Z30" s="210">
        <f t="shared" si="5"/>
        <v>15000</v>
      </c>
      <c r="AA30" s="148" t="s">
        <v>0</v>
      </c>
    </row>
    <row r="31" spans="1:27" ht="16.5" customHeight="1">
      <c r="A31" s="218" t="s">
        <v>244</v>
      </c>
      <c r="B31" s="198"/>
      <c r="C31" s="8" t="s">
        <v>243</v>
      </c>
      <c r="F31" s="177">
        <v>35000</v>
      </c>
      <c r="G31" s="246"/>
      <c r="I31" s="208"/>
      <c r="J31" s="210"/>
      <c r="K31" s="210">
        <v>4375</v>
      </c>
      <c r="L31" s="210">
        <v>4375</v>
      </c>
      <c r="M31" s="212">
        <f t="shared" si="4"/>
        <v>8750</v>
      </c>
      <c r="N31" s="210">
        <v>4375</v>
      </c>
      <c r="O31" s="210">
        <v>4375</v>
      </c>
      <c r="P31" s="210"/>
      <c r="Q31" s="212">
        <f t="shared" si="1"/>
        <v>8750</v>
      </c>
      <c r="R31" s="210">
        <v>4375</v>
      </c>
      <c r="S31" s="210"/>
      <c r="T31" s="210">
        <v>4375</v>
      </c>
      <c r="U31" s="212">
        <f t="shared" si="2"/>
        <v>8750</v>
      </c>
      <c r="V31" s="210">
        <v>4375</v>
      </c>
      <c r="W31" s="210">
        <v>4375</v>
      </c>
      <c r="X31" s="210"/>
      <c r="Y31" s="212">
        <f t="shared" si="3"/>
        <v>8750</v>
      </c>
      <c r="Z31" s="210">
        <f t="shared" si="5"/>
        <v>35000</v>
      </c>
      <c r="AA31" s="148" t="s">
        <v>0</v>
      </c>
    </row>
    <row r="32" spans="1:27" ht="16.5" customHeight="1">
      <c r="A32" s="236" t="s">
        <v>246</v>
      </c>
      <c r="B32" s="198"/>
      <c r="C32" s="8" t="s">
        <v>245</v>
      </c>
      <c r="D32" s="154"/>
      <c r="E32" s="154"/>
      <c r="F32" s="235">
        <f>2200*4+16200-2600-1400-3000-6000</f>
        <v>12000</v>
      </c>
      <c r="G32" s="248"/>
      <c r="I32" s="208"/>
      <c r="J32" s="210">
        <v>5500</v>
      </c>
      <c r="K32" s="210">
        <v>1500</v>
      </c>
      <c r="L32" s="210"/>
      <c r="M32" s="212">
        <f t="shared" si="4"/>
        <v>7000</v>
      </c>
      <c r="N32" s="210"/>
      <c r="O32" s="210"/>
      <c r="P32" s="210"/>
      <c r="Q32" s="212">
        <f t="shared" si="1"/>
        <v>0</v>
      </c>
      <c r="R32" s="210"/>
      <c r="S32" s="210"/>
      <c r="T32" s="210">
        <v>5000</v>
      </c>
      <c r="U32" s="212">
        <f t="shared" si="2"/>
        <v>5000</v>
      </c>
      <c r="V32" s="210">
        <v>0</v>
      </c>
      <c r="W32" s="210">
        <v>0</v>
      </c>
      <c r="X32" s="210">
        <v>0</v>
      </c>
      <c r="Y32" s="212">
        <f t="shared" si="3"/>
        <v>0</v>
      </c>
      <c r="Z32" s="210">
        <f t="shared" si="5"/>
        <v>12000</v>
      </c>
      <c r="AA32" s="148" t="s">
        <v>0</v>
      </c>
    </row>
    <row r="33" spans="1:27" ht="16.5" customHeight="1">
      <c r="A33" s="218" t="s">
        <v>248</v>
      </c>
      <c r="B33" s="198"/>
      <c r="C33" s="8" t="s">
        <v>247</v>
      </c>
      <c r="F33" s="177">
        <v>10000</v>
      </c>
      <c r="G33" s="246"/>
      <c r="I33" s="208"/>
      <c r="J33" s="210"/>
      <c r="K33" s="210"/>
      <c r="L33" s="210">
        <v>0</v>
      </c>
      <c r="M33" s="212">
        <f t="shared" si="4"/>
        <v>0</v>
      </c>
      <c r="N33" s="210">
        <v>2500</v>
      </c>
      <c r="O33" s="210"/>
      <c r="P33" s="210"/>
      <c r="Q33" s="212">
        <f t="shared" si="1"/>
        <v>2500</v>
      </c>
      <c r="R33" s="210"/>
      <c r="S33" s="210">
        <v>2500</v>
      </c>
      <c r="T33" s="210">
        <v>2500</v>
      </c>
      <c r="U33" s="212">
        <f t="shared" si="2"/>
        <v>5000</v>
      </c>
      <c r="V33" s="210">
        <v>2500</v>
      </c>
      <c r="W33" s="210"/>
      <c r="X33" s="210"/>
      <c r="Y33" s="212">
        <f t="shared" si="3"/>
        <v>2500</v>
      </c>
      <c r="Z33" s="210">
        <f t="shared" si="5"/>
        <v>10000</v>
      </c>
      <c r="AA33" s="148" t="s">
        <v>0</v>
      </c>
    </row>
    <row r="34" spans="1:27" ht="16.5" customHeight="1">
      <c r="A34" s="218" t="s">
        <v>250</v>
      </c>
      <c r="B34" s="198"/>
      <c r="C34" s="8" t="s">
        <v>249</v>
      </c>
      <c r="F34" s="177">
        <v>10000</v>
      </c>
      <c r="G34" s="246"/>
      <c r="I34" s="208"/>
      <c r="J34" s="210"/>
      <c r="K34" s="210"/>
      <c r="L34" s="210">
        <v>2500</v>
      </c>
      <c r="M34" s="212">
        <f t="shared" si="4"/>
        <v>2500</v>
      </c>
      <c r="N34" s="210">
        <v>2500</v>
      </c>
      <c r="O34" s="210"/>
      <c r="P34" s="210"/>
      <c r="Q34" s="212">
        <f t="shared" si="1"/>
        <v>2500</v>
      </c>
      <c r="R34" s="210"/>
      <c r="S34" s="210"/>
      <c r="T34" s="210">
        <v>2500</v>
      </c>
      <c r="U34" s="212">
        <f t="shared" si="2"/>
        <v>2500</v>
      </c>
      <c r="V34" s="210">
        <v>2500</v>
      </c>
      <c r="W34" s="210"/>
      <c r="X34" s="210"/>
      <c r="Y34" s="212">
        <f t="shared" si="3"/>
        <v>2500</v>
      </c>
      <c r="Z34" s="210">
        <f t="shared" si="5"/>
        <v>10000</v>
      </c>
      <c r="AA34" s="148" t="s">
        <v>0</v>
      </c>
    </row>
    <row r="35" spans="1:27" ht="16.5" customHeight="1">
      <c r="A35" s="218" t="s">
        <v>252</v>
      </c>
      <c r="B35" s="198"/>
      <c r="C35" s="8" t="s">
        <v>251</v>
      </c>
      <c r="F35" s="177">
        <v>10000</v>
      </c>
      <c r="G35" s="246"/>
      <c r="I35" s="208"/>
      <c r="J35" s="210"/>
      <c r="K35" s="210"/>
      <c r="L35" s="210">
        <v>2500</v>
      </c>
      <c r="M35" s="212">
        <f t="shared" si="4"/>
        <v>2500</v>
      </c>
      <c r="N35" s="210">
        <v>2500</v>
      </c>
      <c r="O35" s="210"/>
      <c r="P35" s="210"/>
      <c r="Q35" s="212">
        <f t="shared" si="1"/>
        <v>2500</v>
      </c>
      <c r="R35" s="210"/>
      <c r="S35" s="210"/>
      <c r="T35" s="210">
        <v>2500</v>
      </c>
      <c r="U35" s="212">
        <f t="shared" si="2"/>
        <v>2500</v>
      </c>
      <c r="V35" s="210">
        <v>2500</v>
      </c>
      <c r="W35" s="210"/>
      <c r="X35" s="210"/>
      <c r="Y35" s="212">
        <f t="shared" si="3"/>
        <v>2500</v>
      </c>
      <c r="Z35" s="210">
        <f t="shared" si="5"/>
        <v>10000</v>
      </c>
      <c r="AA35" s="148" t="s">
        <v>0</v>
      </c>
    </row>
    <row r="36" spans="1:27" ht="31.5">
      <c r="A36" s="218" t="s">
        <v>254</v>
      </c>
      <c r="B36" s="198"/>
      <c r="C36" s="8" t="s">
        <v>253</v>
      </c>
      <c r="F36" s="177">
        <v>10000</v>
      </c>
      <c r="G36" s="246"/>
      <c r="I36" s="208"/>
      <c r="J36" s="210"/>
      <c r="K36" s="210"/>
      <c r="L36" s="210"/>
      <c r="M36" s="212">
        <f t="shared" si="4"/>
        <v>0</v>
      </c>
      <c r="N36" s="210"/>
      <c r="O36" s="210">
        <v>5000</v>
      </c>
      <c r="P36" s="210"/>
      <c r="Q36" s="212">
        <f t="shared" si="1"/>
        <v>5000</v>
      </c>
      <c r="R36" s="210"/>
      <c r="S36" s="210"/>
      <c r="T36" s="210">
        <v>5000</v>
      </c>
      <c r="U36" s="212">
        <f t="shared" si="2"/>
        <v>5000</v>
      </c>
      <c r="V36" s="210"/>
      <c r="W36" s="210"/>
      <c r="X36" s="210"/>
      <c r="Y36" s="212">
        <f t="shared" si="3"/>
        <v>0</v>
      </c>
      <c r="Z36" s="210">
        <f t="shared" si="5"/>
        <v>10000</v>
      </c>
      <c r="AA36" s="148" t="s">
        <v>0</v>
      </c>
    </row>
    <row r="37" spans="1:27" ht="16.5" customHeight="1">
      <c r="A37" s="218" t="s">
        <v>332</v>
      </c>
      <c r="B37" s="198"/>
      <c r="C37" s="8" t="s">
        <v>255</v>
      </c>
      <c r="F37" s="177">
        <v>5000</v>
      </c>
      <c r="G37" s="246"/>
      <c r="I37" s="208"/>
      <c r="J37" s="210"/>
      <c r="K37" s="210"/>
      <c r="L37" s="210"/>
      <c r="M37" s="212">
        <f t="shared" si="4"/>
        <v>0</v>
      </c>
      <c r="N37" s="210"/>
      <c r="O37" s="210"/>
      <c r="P37" s="210"/>
      <c r="Q37" s="212">
        <f t="shared" si="1"/>
        <v>0</v>
      </c>
      <c r="R37" s="210"/>
      <c r="S37" s="210"/>
      <c r="T37" s="210"/>
      <c r="U37" s="212">
        <f t="shared" si="2"/>
        <v>0</v>
      </c>
      <c r="V37" s="210"/>
      <c r="W37" s="210">
        <v>5000</v>
      </c>
      <c r="X37" s="210"/>
      <c r="Y37" s="212">
        <f t="shared" si="3"/>
        <v>5000</v>
      </c>
      <c r="Z37" s="210">
        <f t="shared" si="5"/>
        <v>5000</v>
      </c>
      <c r="AA37" s="148" t="s">
        <v>0</v>
      </c>
    </row>
    <row r="38" spans="1:27" ht="16.5" customHeight="1">
      <c r="A38" s="236" t="s">
        <v>477</v>
      </c>
      <c r="B38" s="198"/>
      <c r="C38" s="8" t="s">
        <v>476</v>
      </c>
      <c r="F38" s="235">
        <v>2600</v>
      </c>
      <c r="G38" s="248"/>
      <c r="I38" s="208"/>
      <c r="J38" s="210"/>
      <c r="K38" s="210">
        <v>2600</v>
      </c>
      <c r="L38" s="210"/>
      <c r="M38" s="212">
        <f t="shared" si="4"/>
        <v>2600</v>
      </c>
      <c r="N38" s="210"/>
      <c r="O38" s="210"/>
      <c r="P38" s="210"/>
      <c r="Q38" s="212">
        <f t="shared" si="1"/>
        <v>0</v>
      </c>
      <c r="R38" s="210"/>
      <c r="S38" s="210"/>
      <c r="T38" s="210"/>
      <c r="U38" s="212">
        <f t="shared" si="2"/>
        <v>0</v>
      </c>
      <c r="V38" s="210"/>
      <c r="W38" s="210"/>
      <c r="X38" s="210"/>
      <c r="Y38" s="212">
        <f t="shared" si="3"/>
        <v>0</v>
      </c>
      <c r="Z38" s="210">
        <f t="shared" si="5"/>
        <v>2600</v>
      </c>
      <c r="AA38" s="148" t="s">
        <v>0</v>
      </c>
    </row>
    <row r="39" spans="1:27" ht="16.5" customHeight="1">
      <c r="A39" s="218" t="s">
        <v>268</v>
      </c>
      <c r="B39" s="198"/>
      <c r="C39" s="8" t="s">
        <v>219</v>
      </c>
      <c r="F39" s="221">
        <v>19000</v>
      </c>
      <c r="G39" s="249"/>
      <c r="H39" s="9" t="s">
        <v>473</v>
      </c>
      <c r="I39" s="208"/>
      <c r="J39" s="210">
        <v>9200</v>
      </c>
      <c r="K39" s="210"/>
      <c r="L39" s="210"/>
      <c r="M39" s="212">
        <f t="shared" si="4"/>
        <v>9200</v>
      </c>
      <c r="N39" s="210"/>
      <c r="O39" s="210"/>
      <c r="P39" s="210"/>
      <c r="Q39" s="212">
        <f t="shared" si="1"/>
        <v>0</v>
      </c>
      <c r="R39" s="210"/>
      <c r="S39" s="210"/>
      <c r="T39" s="210">
        <v>6300</v>
      </c>
      <c r="U39" s="212">
        <f t="shared" si="2"/>
        <v>6300</v>
      </c>
      <c r="V39" s="210">
        <v>3500</v>
      </c>
      <c r="W39" s="210"/>
      <c r="X39" s="210"/>
      <c r="Y39" s="212">
        <f t="shared" si="3"/>
        <v>3500</v>
      </c>
      <c r="Z39" s="210">
        <f t="shared" si="5"/>
        <v>19000</v>
      </c>
      <c r="AA39" s="230" t="s">
        <v>0</v>
      </c>
    </row>
    <row r="40" spans="1:27" ht="16.5" customHeight="1">
      <c r="A40" s="218" t="s">
        <v>257</v>
      </c>
      <c r="B40" s="198"/>
      <c r="C40" s="8" t="s">
        <v>256</v>
      </c>
      <c r="F40" s="221">
        <v>3500</v>
      </c>
      <c r="G40" s="249"/>
      <c r="I40" s="208"/>
      <c r="J40" s="210"/>
      <c r="K40" s="210"/>
      <c r="L40" s="210">
        <v>1250</v>
      </c>
      <c r="M40" s="212">
        <f t="shared" si="4"/>
        <v>1250</v>
      </c>
      <c r="N40" s="210">
        <v>1000</v>
      </c>
      <c r="O40" s="210"/>
      <c r="P40" s="210"/>
      <c r="Q40" s="212">
        <f t="shared" si="1"/>
        <v>1000</v>
      </c>
      <c r="R40" s="210"/>
      <c r="S40" s="210">
        <v>1250</v>
      </c>
      <c r="T40" s="210"/>
      <c r="U40" s="212">
        <f t="shared" si="2"/>
        <v>1250</v>
      </c>
      <c r="V40" s="210"/>
      <c r="W40" s="210"/>
      <c r="X40" s="210"/>
      <c r="Y40" s="212">
        <f t="shared" si="3"/>
        <v>0</v>
      </c>
      <c r="Z40" s="210">
        <f t="shared" si="5"/>
        <v>3500</v>
      </c>
      <c r="AA40" s="148" t="s">
        <v>0</v>
      </c>
    </row>
    <row r="41" spans="1:27" ht="16.5" customHeight="1">
      <c r="A41" s="218" t="s">
        <v>259</v>
      </c>
      <c r="B41" s="198"/>
      <c r="C41" s="8" t="s">
        <v>258</v>
      </c>
      <c r="F41" s="177">
        <v>7000</v>
      </c>
      <c r="G41" s="246"/>
      <c r="I41" s="208"/>
      <c r="J41" s="210"/>
      <c r="K41" s="210"/>
      <c r="L41" s="210">
        <v>1500</v>
      </c>
      <c r="M41" s="212">
        <f t="shared" si="4"/>
        <v>1500</v>
      </c>
      <c r="N41" s="210">
        <v>2000</v>
      </c>
      <c r="O41" s="210"/>
      <c r="P41" s="210"/>
      <c r="Q41" s="212">
        <f t="shared" si="1"/>
        <v>2000</v>
      </c>
      <c r="R41" s="210">
        <v>3500</v>
      </c>
      <c r="S41" s="210"/>
      <c r="T41" s="210"/>
      <c r="U41" s="212">
        <f t="shared" si="2"/>
        <v>3500</v>
      </c>
      <c r="V41" s="210"/>
      <c r="W41" s="210"/>
      <c r="X41" s="210"/>
      <c r="Y41" s="212">
        <f t="shared" si="3"/>
        <v>0</v>
      </c>
      <c r="Z41" s="210">
        <f t="shared" si="5"/>
        <v>7000</v>
      </c>
      <c r="AA41" s="148" t="s">
        <v>0</v>
      </c>
    </row>
    <row r="42" spans="1:27" ht="16.5" customHeight="1">
      <c r="A42" s="218" t="s">
        <v>284</v>
      </c>
      <c r="B42" s="198"/>
      <c r="C42" s="8" t="s">
        <v>260</v>
      </c>
      <c r="F42" s="177">
        <v>20000</v>
      </c>
      <c r="G42" s="246"/>
      <c r="I42" s="208"/>
      <c r="J42" s="210">
        <v>1100</v>
      </c>
      <c r="K42" s="210">
        <v>1500</v>
      </c>
      <c r="L42" s="210">
        <v>1500</v>
      </c>
      <c r="M42" s="212">
        <f t="shared" si="4"/>
        <v>4100</v>
      </c>
      <c r="N42" s="210">
        <v>1700</v>
      </c>
      <c r="O42" s="210">
        <v>1900</v>
      </c>
      <c r="P42" s="210">
        <v>1700</v>
      </c>
      <c r="Q42" s="212">
        <f t="shared" si="1"/>
        <v>5300</v>
      </c>
      <c r="R42" s="210">
        <v>1700</v>
      </c>
      <c r="S42" s="210">
        <v>1900</v>
      </c>
      <c r="T42" s="210">
        <v>1700</v>
      </c>
      <c r="U42" s="212">
        <f t="shared" si="2"/>
        <v>5300</v>
      </c>
      <c r="V42" s="210">
        <v>2000</v>
      </c>
      <c r="W42" s="210">
        <v>1600</v>
      </c>
      <c r="X42" s="210">
        <v>1700</v>
      </c>
      <c r="Y42" s="212">
        <f t="shared" si="3"/>
        <v>5300</v>
      </c>
      <c r="Z42" s="210">
        <f t="shared" si="5"/>
        <v>20000</v>
      </c>
      <c r="AA42" s="148" t="s">
        <v>0</v>
      </c>
    </row>
    <row r="43" spans="1:27" ht="16.5" customHeight="1">
      <c r="A43" s="218" t="s">
        <v>267</v>
      </c>
      <c r="B43" s="198"/>
      <c r="C43" s="8" t="s">
        <v>43</v>
      </c>
      <c r="F43" s="177">
        <v>45000</v>
      </c>
      <c r="G43" s="246"/>
      <c r="I43" s="208"/>
      <c r="J43" s="210"/>
      <c r="K43" s="210"/>
      <c r="L43" s="210"/>
      <c r="M43" s="212">
        <f t="shared" si="4"/>
        <v>0</v>
      </c>
      <c r="N43" s="210"/>
      <c r="O43" s="210"/>
      <c r="P43" s="210">
        <v>9850</v>
      </c>
      <c r="Q43" s="212">
        <f t="shared" si="1"/>
        <v>9850</v>
      </c>
      <c r="R43" s="210">
        <v>15000</v>
      </c>
      <c r="S43" s="210">
        <v>3800</v>
      </c>
      <c r="T43" s="210"/>
      <c r="U43" s="212">
        <f t="shared" si="2"/>
        <v>18800</v>
      </c>
      <c r="V43" s="210">
        <v>16350</v>
      </c>
      <c r="W43" s="210"/>
      <c r="X43" s="210"/>
      <c r="Y43" s="212">
        <f t="shared" si="3"/>
        <v>16350</v>
      </c>
      <c r="Z43" s="210">
        <f t="shared" si="5"/>
        <v>45000</v>
      </c>
      <c r="AA43" s="148" t="s">
        <v>0</v>
      </c>
    </row>
    <row r="44" spans="1:27" ht="16.5" customHeight="1">
      <c r="A44" s="9" t="s">
        <v>21</v>
      </c>
      <c r="B44" s="198"/>
      <c r="C44" s="8" t="s">
        <v>20</v>
      </c>
      <c r="F44" s="235">
        <v>6000</v>
      </c>
      <c r="G44" s="248"/>
      <c r="I44" s="208"/>
      <c r="J44" s="210">
        <v>2450</v>
      </c>
      <c r="K44" s="210">
        <v>3200</v>
      </c>
      <c r="L44" s="210">
        <v>350</v>
      </c>
      <c r="M44" s="212">
        <f t="shared" si="4"/>
        <v>6000</v>
      </c>
      <c r="N44" s="210"/>
      <c r="O44" s="210"/>
      <c r="P44" s="210"/>
      <c r="Q44" s="212">
        <f t="shared" si="1"/>
        <v>0</v>
      </c>
      <c r="R44" s="210"/>
      <c r="S44" s="210"/>
      <c r="T44" s="210"/>
      <c r="U44" s="212">
        <f t="shared" si="2"/>
        <v>0</v>
      </c>
      <c r="V44" s="210"/>
      <c r="W44" s="210"/>
      <c r="X44" s="210"/>
      <c r="Y44" s="212">
        <f t="shared" si="3"/>
        <v>0</v>
      </c>
      <c r="Z44" s="210">
        <f t="shared" si="5"/>
        <v>6000</v>
      </c>
      <c r="AA44" s="148" t="s">
        <v>0</v>
      </c>
    </row>
    <row r="45" spans="1:27" ht="16.5" customHeight="1">
      <c r="A45" s="218" t="s">
        <v>19</v>
      </c>
      <c r="B45" s="198"/>
      <c r="C45" s="8" t="s">
        <v>18</v>
      </c>
      <c r="F45" s="177">
        <v>8500</v>
      </c>
      <c r="G45" s="246"/>
      <c r="I45" s="208"/>
      <c r="J45" s="210">
        <v>700</v>
      </c>
      <c r="K45" s="210">
        <v>1000</v>
      </c>
      <c r="L45" s="210">
        <v>425</v>
      </c>
      <c r="M45" s="212">
        <f t="shared" si="4"/>
        <v>2125</v>
      </c>
      <c r="N45" s="210">
        <v>700</v>
      </c>
      <c r="O45" s="210">
        <v>715</v>
      </c>
      <c r="P45" s="210">
        <v>710</v>
      </c>
      <c r="Q45" s="212">
        <f t="shared" si="1"/>
        <v>2125</v>
      </c>
      <c r="R45" s="210">
        <v>700</v>
      </c>
      <c r="S45" s="210">
        <v>715</v>
      </c>
      <c r="T45" s="210">
        <v>710</v>
      </c>
      <c r="U45" s="212">
        <f t="shared" si="2"/>
        <v>2125</v>
      </c>
      <c r="V45" s="210">
        <v>700</v>
      </c>
      <c r="W45" s="210">
        <v>715</v>
      </c>
      <c r="X45" s="210">
        <v>710</v>
      </c>
      <c r="Y45" s="212">
        <f t="shared" si="3"/>
        <v>2125</v>
      </c>
      <c r="Z45" s="210">
        <f t="shared" si="5"/>
        <v>8500</v>
      </c>
      <c r="AA45" s="148" t="s">
        <v>0</v>
      </c>
    </row>
    <row r="46" spans="1:27" ht="16.5" customHeight="1">
      <c r="A46" s="218" t="s">
        <v>262</v>
      </c>
      <c r="B46" s="198"/>
      <c r="C46" s="8" t="s">
        <v>261</v>
      </c>
      <c r="F46" s="177">
        <v>5000</v>
      </c>
      <c r="G46" s="246"/>
      <c r="I46" s="208"/>
      <c r="J46" s="210"/>
      <c r="K46" s="210"/>
      <c r="L46" s="210"/>
      <c r="M46" s="212">
        <f t="shared" si="4"/>
        <v>0</v>
      </c>
      <c r="N46" s="210"/>
      <c r="O46" s="210">
        <v>2500</v>
      </c>
      <c r="P46" s="210"/>
      <c r="Q46" s="212">
        <f t="shared" si="1"/>
        <v>2500</v>
      </c>
      <c r="R46" s="210"/>
      <c r="S46" s="210">
        <v>2500</v>
      </c>
      <c r="T46" s="210"/>
      <c r="U46" s="212">
        <f t="shared" si="2"/>
        <v>2500</v>
      </c>
      <c r="V46" s="210"/>
      <c r="W46" s="210"/>
      <c r="X46" s="210"/>
      <c r="Y46" s="212">
        <f t="shared" si="3"/>
        <v>0</v>
      </c>
      <c r="Z46" s="210">
        <f t="shared" si="5"/>
        <v>5000</v>
      </c>
      <c r="AA46" s="148" t="s">
        <v>0</v>
      </c>
    </row>
    <row r="47" spans="1:27" ht="16.5" customHeight="1">
      <c r="A47" s="218" t="s">
        <v>264</v>
      </c>
      <c r="B47" s="198"/>
      <c r="C47" s="8" t="s">
        <v>263</v>
      </c>
      <c r="F47" s="177">
        <v>2000</v>
      </c>
      <c r="G47" s="246"/>
      <c r="I47" s="208"/>
      <c r="J47" s="210"/>
      <c r="K47" s="210"/>
      <c r="L47" s="210"/>
      <c r="M47" s="212">
        <f t="shared" si="4"/>
        <v>0</v>
      </c>
      <c r="N47" s="210">
        <v>1000</v>
      </c>
      <c r="O47" s="210"/>
      <c r="P47" s="210"/>
      <c r="Q47" s="212">
        <f t="shared" si="1"/>
        <v>1000</v>
      </c>
      <c r="R47" s="210"/>
      <c r="S47" s="210"/>
      <c r="T47" s="210">
        <v>1000</v>
      </c>
      <c r="U47" s="212">
        <f t="shared" si="2"/>
        <v>1000</v>
      </c>
      <c r="V47" s="210"/>
      <c r="W47" s="210"/>
      <c r="X47" s="210"/>
      <c r="Y47" s="212">
        <f t="shared" si="3"/>
        <v>0</v>
      </c>
      <c r="Z47" s="210">
        <f t="shared" si="5"/>
        <v>2000</v>
      </c>
      <c r="AA47" s="148" t="s">
        <v>0</v>
      </c>
    </row>
    <row r="48" spans="1:27" ht="16.5" customHeight="1">
      <c r="A48" s="218" t="s">
        <v>266</v>
      </c>
      <c r="B48" s="198"/>
      <c r="C48" s="8" t="s">
        <v>265</v>
      </c>
      <c r="F48" s="177">
        <v>1000</v>
      </c>
      <c r="G48" s="246"/>
      <c r="I48" s="208"/>
      <c r="J48" s="210"/>
      <c r="K48" s="210"/>
      <c r="L48" s="210"/>
      <c r="M48" s="212">
        <f t="shared" si="4"/>
        <v>0</v>
      </c>
      <c r="N48" s="210"/>
      <c r="O48" s="210"/>
      <c r="P48" s="210"/>
      <c r="Q48" s="212">
        <f t="shared" si="1"/>
        <v>0</v>
      </c>
      <c r="R48" s="210">
        <v>1000</v>
      </c>
      <c r="S48" s="210"/>
      <c r="T48" s="210"/>
      <c r="U48" s="212">
        <f t="shared" si="2"/>
        <v>1000</v>
      </c>
      <c r="V48" s="210"/>
      <c r="W48" s="210"/>
      <c r="X48" s="210"/>
      <c r="Y48" s="212">
        <f t="shared" si="3"/>
        <v>0</v>
      </c>
      <c r="Z48" s="210">
        <f t="shared" si="5"/>
        <v>1000</v>
      </c>
      <c r="AA48" s="148" t="s">
        <v>0</v>
      </c>
    </row>
    <row r="49" spans="1:27" ht="16.5" customHeight="1">
      <c r="A49" s="218" t="s">
        <v>358</v>
      </c>
      <c r="B49" s="198"/>
      <c r="C49" s="8" t="s">
        <v>359</v>
      </c>
      <c r="F49" s="177">
        <v>3500</v>
      </c>
      <c r="G49" s="246"/>
      <c r="I49" s="208"/>
      <c r="J49" s="210"/>
      <c r="K49" s="210"/>
      <c r="L49" s="210">
        <v>1700</v>
      </c>
      <c r="M49" s="212">
        <f t="shared" si="4"/>
        <v>1700</v>
      </c>
      <c r="N49" s="210">
        <v>1500</v>
      </c>
      <c r="O49" s="210">
        <v>300</v>
      </c>
      <c r="P49" s="210"/>
      <c r="Q49" s="212">
        <f t="shared" si="1"/>
        <v>1800</v>
      </c>
      <c r="R49" s="210"/>
      <c r="S49" s="210"/>
      <c r="T49" s="210"/>
      <c r="U49" s="212">
        <f t="shared" si="2"/>
        <v>0</v>
      </c>
      <c r="V49" s="210"/>
      <c r="W49" s="210"/>
      <c r="X49" s="210"/>
      <c r="Y49" s="212">
        <f t="shared" si="3"/>
        <v>0</v>
      </c>
      <c r="Z49" s="210">
        <f t="shared" si="5"/>
        <v>3500</v>
      </c>
      <c r="AA49" s="148" t="s">
        <v>0</v>
      </c>
    </row>
    <row r="50" spans="1:27" ht="16.5" customHeight="1">
      <c r="A50" s="218" t="s">
        <v>373</v>
      </c>
      <c r="B50" s="198"/>
      <c r="C50" s="8" t="s">
        <v>374</v>
      </c>
      <c r="F50" s="177">
        <v>5000</v>
      </c>
      <c r="G50" s="246"/>
      <c r="I50" s="208"/>
      <c r="J50" s="210"/>
      <c r="K50" s="210"/>
      <c r="L50" s="210">
        <v>2500</v>
      </c>
      <c r="M50" s="212">
        <f t="shared" si="4"/>
        <v>2500</v>
      </c>
      <c r="N50" s="210"/>
      <c r="O50" s="210"/>
      <c r="P50" s="210"/>
      <c r="Q50" s="212">
        <f t="shared" si="1"/>
        <v>0</v>
      </c>
      <c r="R50" s="210">
        <v>2500</v>
      </c>
      <c r="S50" s="210"/>
      <c r="T50" s="210"/>
      <c r="U50" s="212">
        <f t="shared" si="2"/>
        <v>2500</v>
      </c>
      <c r="V50" s="210"/>
      <c r="W50" s="210"/>
      <c r="X50" s="210"/>
      <c r="Y50" s="212">
        <f t="shared" si="3"/>
        <v>0</v>
      </c>
      <c r="Z50" s="210">
        <f t="shared" si="5"/>
        <v>5000</v>
      </c>
      <c r="AA50" s="148" t="s">
        <v>0</v>
      </c>
    </row>
    <row r="51" spans="1:27" ht="16.5" customHeight="1">
      <c r="A51" s="218" t="s">
        <v>375</v>
      </c>
      <c r="B51" s="198"/>
      <c r="C51" s="8" t="s">
        <v>376</v>
      </c>
      <c r="F51" s="177">
        <v>1000</v>
      </c>
      <c r="G51" s="246"/>
      <c r="I51" s="208"/>
      <c r="J51" s="210"/>
      <c r="K51" s="210"/>
      <c r="L51" s="210"/>
      <c r="M51" s="212">
        <f t="shared" si="4"/>
        <v>0</v>
      </c>
      <c r="N51" s="210"/>
      <c r="O51" s="210"/>
      <c r="P51" s="210"/>
      <c r="Q51" s="212">
        <f t="shared" si="1"/>
        <v>0</v>
      </c>
      <c r="R51" s="210"/>
      <c r="S51" s="210"/>
      <c r="T51" s="210"/>
      <c r="U51" s="212">
        <f t="shared" si="2"/>
        <v>0</v>
      </c>
      <c r="V51" s="210">
        <v>1000</v>
      </c>
      <c r="W51" s="210"/>
      <c r="X51" s="210"/>
      <c r="Y51" s="212">
        <f t="shared" si="3"/>
        <v>1000</v>
      </c>
      <c r="Z51" s="210">
        <f t="shared" si="5"/>
        <v>1000</v>
      </c>
      <c r="AA51" s="148" t="s">
        <v>0</v>
      </c>
    </row>
    <row r="52" spans="1:27" ht="16.5" customHeight="1">
      <c r="A52" s="218" t="s">
        <v>381</v>
      </c>
      <c r="B52" s="199"/>
      <c r="C52" s="8" t="s">
        <v>382</v>
      </c>
      <c r="F52" s="177">
        <v>2000</v>
      </c>
      <c r="G52" s="246"/>
      <c r="I52" s="208"/>
      <c r="J52" s="210"/>
      <c r="K52" s="210"/>
      <c r="L52" s="210">
        <v>500</v>
      </c>
      <c r="M52" s="212">
        <f t="shared" si="4"/>
        <v>500</v>
      </c>
      <c r="N52" s="210"/>
      <c r="O52" s="210"/>
      <c r="P52" s="210">
        <v>500</v>
      </c>
      <c r="Q52" s="212">
        <f t="shared" si="1"/>
        <v>500</v>
      </c>
      <c r="R52" s="210"/>
      <c r="S52" s="210"/>
      <c r="T52" s="210">
        <v>500</v>
      </c>
      <c r="U52" s="212">
        <f t="shared" si="2"/>
        <v>500</v>
      </c>
      <c r="V52" s="210"/>
      <c r="W52" s="210">
        <v>500</v>
      </c>
      <c r="X52" s="210"/>
      <c r="Y52" s="212">
        <f t="shared" si="3"/>
        <v>500</v>
      </c>
      <c r="Z52" s="210">
        <f t="shared" si="5"/>
        <v>2000</v>
      </c>
      <c r="AA52" s="148" t="s">
        <v>0</v>
      </c>
    </row>
    <row r="53" spans="1:27" s="215" customFormat="1" ht="16.5" customHeight="1">
      <c r="A53" s="213"/>
      <c r="B53" s="213"/>
      <c r="C53" s="214"/>
      <c r="F53" s="173">
        <f>SUM(F14:F52)</f>
        <v>482000</v>
      </c>
      <c r="G53" s="247"/>
      <c r="J53" s="216">
        <f>SUM(J14:J52)</f>
        <v>27950</v>
      </c>
      <c r="K53" s="216">
        <f>SUM(K14:K52)</f>
        <v>59275</v>
      </c>
      <c r="L53" s="216">
        <f>SUM(L14:L52)</f>
        <v>37775</v>
      </c>
      <c r="M53" s="216">
        <f t="shared" si="4"/>
        <v>125000</v>
      </c>
      <c r="N53" s="216">
        <f>SUM(N14:N52)</f>
        <v>47750</v>
      </c>
      <c r="O53" s="216">
        <f>SUM(O14:O52)</f>
        <v>36665</v>
      </c>
      <c r="P53" s="216">
        <f>SUM(P14:P52)</f>
        <v>30585</v>
      </c>
      <c r="Q53" s="216">
        <f t="shared" si="1"/>
        <v>115000</v>
      </c>
      <c r="R53" s="216">
        <f>SUM(R14:R52)</f>
        <v>42575</v>
      </c>
      <c r="S53" s="216">
        <f>SUM(S14:S52)</f>
        <v>32515</v>
      </c>
      <c r="T53" s="216">
        <f>SUM(T14:T52)</f>
        <v>49910</v>
      </c>
      <c r="U53" s="216">
        <f t="shared" si="2"/>
        <v>125000</v>
      </c>
      <c r="V53" s="216">
        <f>SUM(V14:V52)</f>
        <v>68875</v>
      </c>
      <c r="W53" s="216">
        <f>SUM(W14:W52)</f>
        <v>30815</v>
      </c>
      <c r="X53" s="216">
        <f>SUM(X14:X52)</f>
        <v>17310</v>
      </c>
      <c r="Y53" s="216">
        <f t="shared" si="3"/>
        <v>117000</v>
      </c>
      <c r="Z53" s="216">
        <f t="shared" si="5"/>
        <v>482000</v>
      </c>
      <c r="AA53" s="217"/>
    </row>
    <row r="54" spans="1:27" ht="16.5" customHeight="1">
      <c r="A54" s="218" t="s">
        <v>270</v>
      </c>
      <c r="B54" s="203">
        <v>141</v>
      </c>
      <c r="C54" s="8" t="s">
        <v>269</v>
      </c>
      <c r="F54" s="177">
        <v>30000</v>
      </c>
      <c r="G54" s="246"/>
      <c r="I54" s="208"/>
      <c r="J54" s="210">
        <v>2500</v>
      </c>
      <c r="K54" s="210">
        <v>2500</v>
      </c>
      <c r="L54" s="210">
        <v>2500</v>
      </c>
      <c r="M54" s="212">
        <f t="shared" si="4"/>
        <v>7500</v>
      </c>
      <c r="N54" s="210">
        <v>2500</v>
      </c>
      <c r="O54" s="210">
        <v>2500</v>
      </c>
      <c r="P54" s="210">
        <v>2500</v>
      </c>
      <c r="Q54" s="212">
        <f t="shared" si="1"/>
        <v>7500</v>
      </c>
      <c r="R54" s="210">
        <v>2500</v>
      </c>
      <c r="S54" s="210">
        <v>2500</v>
      </c>
      <c r="T54" s="210">
        <v>2500</v>
      </c>
      <c r="U54" s="212">
        <f t="shared" si="2"/>
        <v>7500</v>
      </c>
      <c r="V54" s="210">
        <v>2500</v>
      </c>
      <c r="W54" s="210">
        <v>2500</v>
      </c>
      <c r="X54" s="210">
        <v>2500</v>
      </c>
      <c r="Y54" s="212">
        <f t="shared" si="3"/>
        <v>7500</v>
      </c>
      <c r="Z54" s="210">
        <f t="shared" si="5"/>
        <v>30000</v>
      </c>
      <c r="AA54" s="148" t="s">
        <v>0</v>
      </c>
    </row>
    <row r="55" spans="1:27" ht="16.5" customHeight="1">
      <c r="A55" s="218" t="s">
        <v>44</v>
      </c>
      <c r="B55" s="202"/>
      <c r="C55" s="8" t="s">
        <v>45</v>
      </c>
      <c r="F55" s="177">
        <v>20000</v>
      </c>
      <c r="G55" s="246"/>
      <c r="I55" s="208"/>
      <c r="J55" s="210"/>
      <c r="K55" s="210">
        <v>2000</v>
      </c>
      <c r="L55" s="210">
        <v>2000</v>
      </c>
      <c r="M55" s="212">
        <f t="shared" si="4"/>
        <v>4000</v>
      </c>
      <c r="N55" s="210">
        <v>2000</v>
      </c>
      <c r="O55" s="210">
        <v>2000</v>
      </c>
      <c r="P55" s="210">
        <v>0</v>
      </c>
      <c r="Q55" s="212">
        <f t="shared" si="1"/>
        <v>4000</v>
      </c>
      <c r="R55" s="210">
        <v>2000</v>
      </c>
      <c r="S55" s="210">
        <v>2000</v>
      </c>
      <c r="T55" s="210">
        <v>2000</v>
      </c>
      <c r="U55" s="212">
        <f t="shared" si="2"/>
        <v>6000</v>
      </c>
      <c r="V55" s="210">
        <v>2000</v>
      </c>
      <c r="W55" s="210">
        <v>2000</v>
      </c>
      <c r="X55" s="210">
        <v>2000</v>
      </c>
      <c r="Y55" s="212">
        <f t="shared" si="3"/>
        <v>6000</v>
      </c>
      <c r="Z55" s="210">
        <f t="shared" si="5"/>
        <v>20000</v>
      </c>
      <c r="AA55" s="148" t="s">
        <v>0</v>
      </c>
    </row>
    <row r="56" spans="1:30" ht="16.5" customHeight="1">
      <c r="A56" s="218" t="s">
        <v>278</v>
      </c>
      <c r="B56" s="202"/>
      <c r="C56" s="196" t="s">
        <v>277</v>
      </c>
      <c r="F56" s="177">
        <f>21*1500+96500</f>
        <v>128000</v>
      </c>
      <c r="G56" s="246"/>
      <c r="H56" s="9" t="s">
        <v>433</v>
      </c>
      <c r="I56" s="208"/>
      <c r="J56" s="210">
        <v>10400</v>
      </c>
      <c r="K56" s="210">
        <v>10800</v>
      </c>
      <c r="L56" s="210">
        <v>10800</v>
      </c>
      <c r="M56" s="212">
        <f t="shared" si="4"/>
        <v>32000</v>
      </c>
      <c r="N56" s="210">
        <v>10800</v>
      </c>
      <c r="O56" s="210">
        <v>10800</v>
      </c>
      <c r="P56" s="210">
        <v>10400</v>
      </c>
      <c r="Q56" s="212">
        <f t="shared" si="1"/>
        <v>32000</v>
      </c>
      <c r="R56" s="210">
        <v>10800</v>
      </c>
      <c r="S56" s="210">
        <v>10400</v>
      </c>
      <c r="T56" s="210">
        <v>10800</v>
      </c>
      <c r="U56" s="212">
        <f t="shared" si="2"/>
        <v>32000</v>
      </c>
      <c r="V56" s="210">
        <v>10800</v>
      </c>
      <c r="W56" s="210">
        <v>10800</v>
      </c>
      <c r="X56" s="210">
        <v>10400</v>
      </c>
      <c r="Y56" s="212">
        <f t="shared" si="3"/>
        <v>32000</v>
      </c>
      <c r="Z56" s="210">
        <f t="shared" si="5"/>
        <v>128000</v>
      </c>
      <c r="AA56" s="148" t="s">
        <v>326</v>
      </c>
      <c r="AB56" s="148" t="s">
        <v>399</v>
      </c>
      <c r="AD56" s="148" t="s">
        <v>326</v>
      </c>
    </row>
    <row r="57" spans="1:27" ht="16.5" customHeight="1">
      <c r="A57" s="218" t="s">
        <v>276</v>
      </c>
      <c r="B57" s="202"/>
      <c r="C57" s="196" t="s">
        <v>275</v>
      </c>
      <c r="F57" s="177">
        <v>90000</v>
      </c>
      <c r="G57" s="246"/>
      <c r="I57" s="208"/>
      <c r="J57" s="210">
        <v>7500</v>
      </c>
      <c r="K57" s="210">
        <v>7500</v>
      </c>
      <c r="L57" s="210">
        <v>7500</v>
      </c>
      <c r="M57" s="212">
        <f t="shared" si="4"/>
        <v>22500</v>
      </c>
      <c r="N57" s="210">
        <v>7500</v>
      </c>
      <c r="O57" s="210">
        <v>7500</v>
      </c>
      <c r="P57" s="210">
        <v>7500</v>
      </c>
      <c r="Q57" s="212">
        <f t="shared" si="1"/>
        <v>22500</v>
      </c>
      <c r="R57" s="210">
        <v>7500</v>
      </c>
      <c r="S57" s="210">
        <v>7500</v>
      </c>
      <c r="T57" s="210">
        <v>7500</v>
      </c>
      <c r="U57" s="212">
        <f t="shared" si="2"/>
        <v>22500</v>
      </c>
      <c r="V57" s="210">
        <v>7500</v>
      </c>
      <c r="W57" s="210">
        <v>7500</v>
      </c>
      <c r="X57" s="210">
        <v>7500</v>
      </c>
      <c r="Y57" s="212">
        <f t="shared" si="3"/>
        <v>22500</v>
      </c>
      <c r="Z57" s="210">
        <f t="shared" si="5"/>
        <v>90000</v>
      </c>
      <c r="AA57" s="148" t="s">
        <v>326</v>
      </c>
    </row>
    <row r="58" spans="1:27" ht="16.5" customHeight="1">
      <c r="A58" s="218" t="s">
        <v>404</v>
      </c>
      <c r="B58" s="198"/>
      <c r="C58" s="196" t="s">
        <v>275</v>
      </c>
      <c r="F58" s="200">
        <v>100000</v>
      </c>
      <c r="G58" s="250"/>
      <c r="H58" s="9" t="s">
        <v>431</v>
      </c>
      <c r="I58" s="208"/>
      <c r="J58" s="210"/>
      <c r="K58" s="210"/>
      <c r="L58" s="210"/>
      <c r="M58" s="212">
        <f t="shared" si="4"/>
        <v>0</v>
      </c>
      <c r="N58" s="210"/>
      <c r="O58" s="210"/>
      <c r="P58" s="210"/>
      <c r="Q58" s="212">
        <f t="shared" si="1"/>
        <v>0</v>
      </c>
      <c r="R58" s="210"/>
      <c r="S58" s="210"/>
      <c r="T58" s="210"/>
      <c r="U58" s="212">
        <f t="shared" si="2"/>
        <v>0</v>
      </c>
      <c r="V58" s="210"/>
      <c r="W58" s="210">
        <v>65610</v>
      </c>
      <c r="X58" s="210">
        <v>34390</v>
      </c>
      <c r="Y58" s="212">
        <f t="shared" si="3"/>
        <v>100000</v>
      </c>
      <c r="Z58" s="210">
        <f t="shared" si="5"/>
        <v>100000</v>
      </c>
      <c r="AA58" s="148" t="s">
        <v>326</v>
      </c>
    </row>
    <row r="59" spans="1:27" ht="16.5" customHeight="1">
      <c r="A59" s="218" t="s">
        <v>280</v>
      </c>
      <c r="B59" s="202"/>
      <c r="C59" s="8" t="s">
        <v>279</v>
      </c>
      <c r="F59" s="177">
        <v>30000</v>
      </c>
      <c r="G59" s="246"/>
      <c r="I59" s="208"/>
      <c r="J59" s="210">
        <v>2500</v>
      </c>
      <c r="K59" s="210">
        <v>2500</v>
      </c>
      <c r="L59" s="210">
        <v>2500</v>
      </c>
      <c r="M59" s="212">
        <f t="shared" si="4"/>
        <v>7500</v>
      </c>
      <c r="N59" s="210">
        <v>2500</v>
      </c>
      <c r="O59" s="210">
        <v>2500</v>
      </c>
      <c r="P59" s="210">
        <v>2500</v>
      </c>
      <c r="Q59" s="212">
        <f t="shared" si="1"/>
        <v>7500</v>
      </c>
      <c r="R59" s="210">
        <v>2500</v>
      </c>
      <c r="S59" s="210">
        <v>2500</v>
      </c>
      <c r="T59" s="210">
        <v>2500</v>
      </c>
      <c r="U59" s="212">
        <f t="shared" si="2"/>
        <v>7500</v>
      </c>
      <c r="V59" s="210">
        <v>2500</v>
      </c>
      <c r="W59" s="210">
        <v>2500</v>
      </c>
      <c r="X59" s="210">
        <v>2500</v>
      </c>
      <c r="Y59" s="212">
        <f t="shared" si="3"/>
        <v>7500</v>
      </c>
      <c r="Z59" s="210">
        <f t="shared" si="5"/>
        <v>30000</v>
      </c>
      <c r="AA59" s="148" t="s">
        <v>326</v>
      </c>
    </row>
    <row r="60" spans="1:27" ht="31.5">
      <c r="A60" s="218" t="s">
        <v>402</v>
      </c>
      <c r="B60" s="198"/>
      <c r="C60" s="8" t="s">
        <v>401</v>
      </c>
      <c r="F60" s="200">
        <v>400000</v>
      </c>
      <c r="G60" s="250"/>
      <c r="H60" s="9" t="s">
        <v>432</v>
      </c>
      <c r="I60" s="208"/>
      <c r="J60" s="210"/>
      <c r="K60" s="210"/>
      <c r="L60" s="210"/>
      <c r="M60" s="212">
        <f t="shared" si="4"/>
        <v>0</v>
      </c>
      <c r="N60" s="210">
        <v>100000</v>
      </c>
      <c r="O60" s="210"/>
      <c r="P60" s="210">
        <v>60000</v>
      </c>
      <c r="Q60" s="212">
        <f t="shared" si="1"/>
        <v>160000</v>
      </c>
      <c r="R60" s="210">
        <v>63000</v>
      </c>
      <c r="S60" s="210">
        <v>60000</v>
      </c>
      <c r="T60" s="210">
        <v>60000</v>
      </c>
      <c r="U60" s="212">
        <f t="shared" si="2"/>
        <v>183000</v>
      </c>
      <c r="V60" s="210">
        <v>57000</v>
      </c>
      <c r="W60" s="210"/>
      <c r="X60" s="210"/>
      <c r="Y60" s="212">
        <f t="shared" si="3"/>
        <v>57000</v>
      </c>
      <c r="Z60" s="210">
        <f t="shared" si="5"/>
        <v>400000</v>
      </c>
      <c r="AA60" s="148" t="s">
        <v>327</v>
      </c>
    </row>
    <row r="61" spans="1:27" ht="16.5" customHeight="1">
      <c r="A61" s="218" t="s">
        <v>391</v>
      </c>
      <c r="B61" s="202"/>
      <c r="C61" s="8" t="s">
        <v>40</v>
      </c>
      <c r="F61" s="177">
        <f>90000</f>
        <v>90000</v>
      </c>
      <c r="G61" s="246"/>
      <c r="I61" s="208"/>
      <c r="J61" s="210">
        <v>7500</v>
      </c>
      <c r="K61" s="210">
        <v>7500</v>
      </c>
      <c r="L61" s="210">
        <v>8500</v>
      </c>
      <c r="M61" s="212">
        <f t="shared" si="4"/>
        <v>23500</v>
      </c>
      <c r="N61" s="210">
        <v>11500</v>
      </c>
      <c r="O61" s="210">
        <v>7500</v>
      </c>
      <c r="P61" s="210">
        <v>7500</v>
      </c>
      <c r="Q61" s="212">
        <f t="shared" si="1"/>
        <v>26500</v>
      </c>
      <c r="R61" s="210">
        <v>6500</v>
      </c>
      <c r="S61" s="210">
        <v>7500</v>
      </c>
      <c r="T61" s="210">
        <v>7500</v>
      </c>
      <c r="U61" s="212">
        <f t="shared" si="2"/>
        <v>21500</v>
      </c>
      <c r="V61" s="210">
        <v>7500</v>
      </c>
      <c r="W61" s="210">
        <v>7500</v>
      </c>
      <c r="X61" s="210">
        <f>7500-4000</f>
        <v>3500</v>
      </c>
      <c r="Y61" s="212">
        <f t="shared" si="3"/>
        <v>18500</v>
      </c>
      <c r="Z61" s="210">
        <f t="shared" si="5"/>
        <v>90000</v>
      </c>
      <c r="AA61" s="148" t="s">
        <v>326</v>
      </c>
    </row>
    <row r="62" spans="1:27" ht="16.5" customHeight="1">
      <c r="A62" s="218" t="s">
        <v>391</v>
      </c>
      <c r="B62" s="202"/>
      <c r="C62" s="196" t="s">
        <v>40</v>
      </c>
      <c r="F62" s="200">
        <v>100000</v>
      </c>
      <c r="G62" s="250"/>
      <c r="H62" s="9" t="s">
        <v>430</v>
      </c>
      <c r="I62" s="208"/>
      <c r="J62" s="210"/>
      <c r="K62" s="210"/>
      <c r="L62" s="210"/>
      <c r="M62" s="212">
        <f t="shared" si="4"/>
        <v>0</v>
      </c>
      <c r="N62" s="210"/>
      <c r="O62" s="210">
        <v>40000</v>
      </c>
      <c r="P62" s="210"/>
      <c r="Q62" s="212">
        <f t="shared" si="1"/>
        <v>40000</v>
      </c>
      <c r="R62" s="210"/>
      <c r="S62" s="210"/>
      <c r="T62" s="210"/>
      <c r="U62" s="212">
        <f t="shared" si="2"/>
        <v>0</v>
      </c>
      <c r="V62" s="210">
        <v>32100</v>
      </c>
      <c r="W62" s="210">
        <v>27900</v>
      </c>
      <c r="X62" s="210"/>
      <c r="Y62" s="212">
        <f t="shared" si="3"/>
        <v>60000</v>
      </c>
      <c r="Z62" s="210">
        <f t="shared" si="5"/>
        <v>100000</v>
      </c>
      <c r="AA62" s="148" t="s">
        <v>326</v>
      </c>
    </row>
    <row r="63" spans="1:27" s="215" customFormat="1" ht="16.5" customHeight="1">
      <c r="A63" s="213"/>
      <c r="B63" s="213"/>
      <c r="C63" s="214"/>
      <c r="F63" s="173">
        <f>SUM(F54:F62)</f>
        <v>988000</v>
      </c>
      <c r="G63" s="247"/>
      <c r="J63" s="216">
        <f>SUM(J54:J62)</f>
        <v>30400</v>
      </c>
      <c r="K63" s="216">
        <f>SUM(K54:K62)</f>
        <v>32800</v>
      </c>
      <c r="L63" s="216">
        <f>SUM(L54:L62)</f>
        <v>33800</v>
      </c>
      <c r="M63" s="216">
        <f t="shared" si="4"/>
        <v>97000</v>
      </c>
      <c r="N63" s="216">
        <f>SUM(N54:N62)</f>
        <v>136800</v>
      </c>
      <c r="O63" s="216">
        <f>SUM(O54:O62)</f>
        <v>72800</v>
      </c>
      <c r="P63" s="216">
        <f>SUM(P54:P62)</f>
        <v>90400</v>
      </c>
      <c r="Q63" s="216">
        <f t="shared" si="1"/>
        <v>300000</v>
      </c>
      <c r="R63" s="216">
        <f>SUM(R54:R62)</f>
        <v>94800</v>
      </c>
      <c r="S63" s="216">
        <f>SUM(S54:S62)</f>
        <v>92400</v>
      </c>
      <c r="T63" s="216">
        <f>SUM(T54:T62)</f>
        <v>92800</v>
      </c>
      <c r="U63" s="216">
        <f t="shared" si="2"/>
        <v>280000</v>
      </c>
      <c r="V63" s="216">
        <f>SUM(V54:V62)</f>
        <v>121900</v>
      </c>
      <c r="W63" s="216">
        <f>SUM(W54:W62)</f>
        <v>126310</v>
      </c>
      <c r="X63" s="216">
        <f>SUM(X54:X62)</f>
        <v>62790</v>
      </c>
      <c r="Y63" s="216">
        <f t="shared" si="3"/>
        <v>311000</v>
      </c>
      <c r="Z63" s="216">
        <f t="shared" si="5"/>
        <v>988000</v>
      </c>
      <c r="AA63" s="217"/>
    </row>
    <row r="64" spans="1:27" ht="16.5" customHeight="1">
      <c r="A64" s="218" t="s">
        <v>396</v>
      </c>
      <c r="B64" s="8">
        <v>230</v>
      </c>
      <c r="C64" s="8" t="s">
        <v>50</v>
      </c>
      <c r="F64" s="177">
        <v>150000</v>
      </c>
      <c r="G64" s="246"/>
      <c r="I64" s="208"/>
      <c r="J64" s="210">
        <v>0</v>
      </c>
      <c r="K64" s="210"/>
      <c r="L64" s="210"/>
      <c r="M64" s="212">
        <f t="shared" si="4"/>
        <v>0</v>
      </c>
      <c r="N64" s="210"/>
      <c r="O64" s="210"/>
      <c r="P64" s="210"/>
      <c r="Q64" s="212">
        <f aca="true" t="shared" si="8" ref="Q64:Q122">SUM(N64:P64)</f>
        <v>0</v>
      </c>
      <c r="R64" s="210"/>
      <c r="S64" s="210">
        <v>20000</v>
      </c>
      <c r="T64" s="210">
        <v>80000</v>
      </c>
      <c r="U64" s="212">
        <f aca="true" t="shared" si="9" ref="U64:U122">SUM(R64:T64)</f>
        <v>100000</v>
      </c>
      <c r="V64" s="210">
        <v>30000</v>
      </c>
      <c r="W64" s="210">
        <v>20000</v>
      </c>
      <c r="X64" s="210"/>
      <c r="Y64" s="212">
        <f aca="true" t="shared" si="10" ref="Y64:Y122">SUM(V64:X64)</f>
        <v>50000</v>
      </c>
      <c r="Z64" s="210">
        <f t="shared" si="5"/>
        <v>150000</v>
      </c>
      <c r="AA64" s="148" t="s">
        <v>326</v>
      </c>
    </row>
    <row r="65" spans="1:27" ht="16.5" customHeight="1">
      <c r="A65" s="218"/>
      <c r="B65" s="8"/>
      <c r="C65" s="8"/>
      <c r="F65" s="200"/>
      <c r="G65" s="250"/>
      <c r="I65" s="208"/>
      <c r="J65" s="210"/>
      <c r="K65" s="210"/>
      <c r="L65" s="210"/>
      <c r="M65" s="212"/>
      <c r="N65" s="210"/>
      <c r="O65" s="210"/>
      <c r="P65" s="210"/>
      <c r="Q65" s="212"/>
      <c r="R65" s="210"/>
      <c r="S65" s="210"/>
      <c r="T65" s="210"/>
      <c r="U65" s="212"/>
      <c r="V65" s="210"/>
      <c r="W65" s="210"/>
      <c r="X65" s="210"/>
      <c r="Y65" s="212"/>
      <c r="Z65" s="210"/>
      <c r="AA65" s="148"/>
    </row>
    <row r="66" spans="1:27" s="215" customFormat="1" ht="16.5" customHeight="1">
      <c r="A66" s="213"/>
      <c r="B66" s="213"/>
      <c r="C66" s="214"/>
      <c r="F66" s="173">
        <f>SUM(F64)</f>
        <v>150000</v>
      </c>
      <c r="G66" s="247"/>
      <c r="J66" s="216">
        <f>SUM(J64:J65)</f>
        <v>0</v>
      </c>
      <c r="K66" s="216">
        <f aca="true" t="shared" si="11" ref="K66:Y66">SUM(K64:K65)</f>
        <v>0</v>
      </c>
      <c r="L66" s="216">
        <f t="shared" si="11"/>
        <v>0</v>
      </c>
      <c r="M66" s="216">
        <f t="shared" si="11"/>
        <v>0</v>
      </c>
      <c r="N66" s="216">
        <f t="shared" si="11"/>
        <v>0</v>
      </c>
      <c r="O66" s="216">
        <f t="shared" si="11"/>
        <v>0</v>
      </c>
      <c r="P66" s="216">
        <f t="shared" si="11"/>
        <v>0</v>
      </c>
      <c r="Q66" s="216">
        <f t="shared" si="11"/>
        <v>0</v>
      </c>
      <c r="R66" s="216">
        <f t="shared" si="11"/>
        <v>0</v>
      </c>
      <c r="S66" s="216">
        <f t="shared" si="11"/>
        <v>20000</v>
      </c>
      <c r="T66" s="216">
        <f t="shared" si="11"/>
        <v>80000</v>
      </c>
      <c r="U66" s="216">
        <f t="shared" si="11"/>
        <v>100000</v>
      </c>
      <c r="V66" s="216">
        <f t="shared" si="11"/>
        <v>30000</v>
      </c>
      <c r="W66" s="216">
        <f t="shared" si="11"/>
        <v>20000</v>
      </c>
      <c r="X66" s="216">
        <f t="shared" si="11"/>
        <v>0</v>
      </c>
      <c r="Y66" s="216">
        <f t="shared" si="11"/>
        <v>50000</v>
      </c>
      <c r="Z66" s="216">
        <f aca="true" t="shared" si="12" ref="Z66:Z122">M66+Q66+U66+Y66</f>
        <v>150000</v>
      </c>
      <c r="AA66" s="217"/>
    </row>
    <row r="67" spans="1:27" ht="16.5" customHeight="1">
      <c r="A67" s="218" t="s">
        <v>51</v>
      </c>
      <c r="B67" s="158">
        <v>280</v>
      </c>
      <c r="C67" s="158"/>
      <c r="D67" s="154"/>
      <c r="E67" s="154"/>
      <c r="F67" s="177">
        <v>2000</v>
      </c>
      <c r="G67" s="246"/>
      <c r="I67" s="208"/>
      <c r="J67" s="210">
        <v>165</v>
      </c>
      <c r="K67" s="210">
        <v>165</v>
      </c>
      <c r="L67" s="210">
        <v>170</v>
      </c>
      <c r="M67" s="212">
        <f aca="true" t="shared" si="13" ref="M67:M122">SUM(J67:L67)</f>
        <v>500</v>
      </c>
      <c r="N67" s="210">
        <v>165</v>
      </c>
      <c r="O67" s="210">
        <v>165</v>
      </c>
      <c r="P67" s="210">
        <v>170</v>
      </c>
      <c r="Q67" s="212">
        <f t="shared" si="8"/>
        <v>500</v>
      </c>
      <c r="R67" s="210">
        <v>165</v>
      </c>
      <c r="S67" s="210">
        <v>165</v>
      </c>
      <c r="T67" s="210">
        <v>170</v>
      </c>
      <c r="U67" s="212">
        <f t="shared" si="9"/>
        <v>500</v>
      </c>
      <c r="V67" s="210">
        <v>165</v>
      </c>
      <c r="W67" s="210">
        <v>165</v>
      </c>
      <c r="X67" s="210">
        <v>170</v>
      </c>
      <c r="Y67" s="212">
        <f t="shared" si="10"/>
        <v>500</v>
      </c>
      <c r="Z67" s="210">
        <f t="shared" si="12"/>
        <v>2000</v>
      </c>
      <c r="AA67" s="160" t="s">
        <v>0</v>
      </c>
    </row>
    <row r="68" spans="1:27" s="215" customFormat="1" ht="16.5" customHeight="1">
      <c r="A68" s="213"/>
      <c r="B68" s="214"/>
      <c r="C68" s="214"/>
      <c r="F68" s="173">
        <f>SUM(F67)</f>
        <v>2000</v>
      </c>
      <c r="G68" s="247"/>
      <c r="J68" s="216">
        <f>SUM(J67)</f>
        <v>165</v>
      </c>
      <c r="K68" s="216">
        <f>SUM(K67)</f>
        <v>165</v>
      </c>
      <c r="L68" s="216">
        <f>SUM(L67)</f>
        <v>170</v>
      </c>
      <c r="M68" s="216">
        <f t="shared" si="13"/>
        <v>500</v>
      </c>
      <c r="N68" s="216">
        <f>SUM(N67)</f>
        <v>165</v>
      </c>
      <c r="O68" s="216">
        <f>SUM(O67)</f>
        <v>165</v>
      </c>
      <c r="P68" s="216">
        <f>SUM(P67)</f>
        <v>170</v>
      </c>
      <c r="Q68" s="216">
        <f t="shared" si="8"/>
        <v>500</v>
      </c>
      <c r="R68" s="216">
        <f>SUM(R67)</f>
        <v>165</v>
      </c>
      <c r="S68" s="216">
        <f>SUM(S67)</f>
        <v>165</v>
      </c>
      <c r="T68" s="216">
        <f>SUM(T67)</f>
        <v>170</v>
      </c>
      <c r="U68" s="216">
        <f t="shared" si="9"/>
        <v>500</v>
      </c>
      <c r="V68" s="216">
        <f>SUM(V67)</f>
        <v>165</v>
      </c>
      <c r="W68" s="216">
        <f>SUM(W67)</f>
        <v>165</v>
      </c>
      <c r="X68" s="216">
        <f>SUM(X67)</f>
        <v>170</v>
      </c>
      <c r="Y68" s="216">
        <f t="shared" si="10"/>
        <v>500</v>
      </c>
      <c r="Z68" s="216">
        <f t="shared" si="12"/>
        <v>2000</v>
      </c>
      <c r="AA68" s="217"/>
    </row>
    <row r="69" spans="1:27" ht="16.5" customHeight="1">
      <c r="A69" s="218" t="s">
        <v>337</v>
      </c>
      <c r="B69" s="8" t="s">
        <v>195</v>
      </c>
      <c r="C69" s="8" t="s">
        <v>338</v>
      </c>
      <c r="F69" s="177">
        <v>45000</v>
      </c>
      <c r="G69" s="246"/>
      <c r="I69" s="208"/>
      <c r="J69" s="210">
        <v>7500</v>
      </c>
      <c r="K69" s="210">
        <v>0</v>
      </c>
      <c r="L69" s="210">
        <v>2500</v>
      </c>
      <c r="M69" s="212">
        <f t="shared" si="13"/>
        <v>10000</v>
      </c>
      <c r="N69" s="210">
        <v>7000</v>
      </c>
      <c r="O69" s="210">
        <v>7000</v>
      </c>
      <c r="P69" s="210">
        <v>6000</v>
      </c>
      <c r="Q69" s="212">
        <f t="shared" si="8"/>
        <v>20000</v>
      </c>
      <c r="R69" s="210">
        <v>2500</v>
      </c>
      <c r="S69" s="210"/>
      <c r="T69" s="210">
        <v>2500</v>
      </c>
      <c r="U69" s="212">
        <f t="shared" si="9"/>
        <v>5000</v>
      </c>
      <c r="V69" s="210">
        <v>3500</v>
      </c>
      <c r="W69" s="210">
        <v>3500</v>
      </c>
      <c r="X69" s="210">
        <v>3000</v>
      </c>
      <c r="Y69" s="212">
        <f t="shared" si="10"/>
        <v>10000</v>
      </c>
      <c r="Z69" s="210">
        <f t="shared" si="12"/>
        <v>45000</v>
      </c>
      <c r="AA69" s="148" t="s">
        <v>0</v>
      </c>
    </row>
    <row r="70" spans="1:27" s="215" customFormat="1" ht="16.5" customHeight="1">
      <c r="A70" s="213"/>
      <c r="B70" s="213"/>
      <c r="C70" s="214"/>
      <c r="F70" s="173">
        <f>SUM(F69)</f>
        <v>45000</v>
      </c>
      <c r="G70" s="247"/>
      <c r="J70" s="216">
        <f>SUM(J69)</f>
        <v>7500</v>
      </c>
      <c r="K70" s="216">
        <f>SUM(K69)</f>
        <v>0</v>
      </c>
      <c r="L70" s="216">
        <f>SUM(L69)</f>
        <v>2500</v>
      </c>
      <c r="M70" s="216">
        <f>SUM(J70:L70)</f>
        <v>10000</v>
      </c>
      <c r="N70" s="216">
        <f>SUM(N69)</f>
        <v>7000</v>
      </c>
      <c r="O70" s="216">
        <f>SUM(O69)</f>
        <v>7000</v>
      </c>
      <c r="P70" s="216">
        <f>SUM(P69)</f>
        <v>6000</v>
      </c>
      <c r="Q70" s="216">
        <f>SUM(N70:P70)</f>
        <v>20000</v>
      </c>
      <c r="R70" s="216">
        <f>SUM(R69)</f>
        <v>2500</v>
      </c>
      <c r="S70" s="216">
        <f>SUM(S69)</f>
        <v>0</v>
      </c>
      <c r="T70" s="216">
        <f>SUM(T69)</f>
        <v>2500</v>
      </c>
      <c r="U70" s="216">
        <f>SUM(R70:T70)</f>
        <v>5000</v>
      </c>
      <c r="V70" s="216">
        <f>SUM(V69)</f>
        <v>3500</v>
      </c>
      <c r="W70" s="216">
        <f>SUM(W69)</f>
        <v>3500</v>
      </c>
      <c r="X70" s="216">
        <f>SUM(X69)</f>
        <v>3000</v>
      </c>
      <c r="Y70" s="216">
        <f>SUM(V70:X70)</f>
        <v>10000</v>
      </c>
      <c r="Z70" s="216">
        <f>M70+Q70+U70+Y70</f>
        <v>45000</v>
      </c>
      <c r="AA70" s="217"/>
    </row>
    <row r="71" spans="1:27" ht="16.5" customHeight="1">
      <c r="A71" s="218" t="s">
        <v>26</v>
      </c>
      <c r="B71" s="198"/>
      <c r="C71" s="8" t="s">
        <v>25</v>
      </c>
      <c r="F71" s="177">
        <v>7000</v>
      </c>
      <c r="G71" s="246"/>
      <c r="I71" s="208"/>
      <c r="J71" s="210"/>
      <c r="K71" s="210"/>
      <c r="L71" s="210"/>
      <c r="M71" s="212">
        <f t="shared" si="13"/>
        <v>0</v>
      </c>
      <c r="N71" s="210"/>
      <c r="O71" s="210"/>
      <c r="P71" s="210"/>
      <c r="Q71" s="212">
        <f t="shared" si="8"/>
        <v>0</v>
      </c>
      <c r="R71" s="210"/>
      <c r="S71" s="210"/>
      <c r="T71" s="222">
        <v>3500</v>
      </c>
      <c r="U71" s="212">
        <f t="shared" si="9"/>
        <v>3500</v>
      </c>
      <c r="V71" s="210">
        <v>3500</v>
      </c>
      <c r="W71" s="210"/>
      <c r="X71" s="210"/>
      <c r="Y71" s="212">
        <f t="shared" si="10"/>
        <v>3500</v>
      </c>
      <c r="Z71" s="222">
        <f t="shared" si="12"/>
        <v>7000</v>
      </c>
      <c r="AA71" s="148" t="s">
        <v>0</v>
      </c>
    </row>
    <row r="72" spans="1:27" ht="16.5" customHeight="1">
      <c r="A72" s="218" t="s">
        <v>7</v>
      </c>
      <c r="B72" s="198"/>
      <c r="C72" s="8" t="s">
        <v>6</v>
      </c>
      <c r="F72" s="177">
        <v>20000</v>
      </c>
      <c r="G72" s="246"/>
      <c r="I72" s="208"/>
      <c r="J72" s="210">
        <v>1500</v>
      </c>
      <c r="K72" s="210">
        <v>1500</v>
      </c>
      <c r="L72" s="210">
        <v>1500</v>
      </c>
      <c r="M72" s="212">
        <f t="shared" si="13"/>
        <v>4500</v>
      </c>
      <c r="N72" s="210">
        <v>2000</v>
      </c>
      <c r="O72" s="210">
        <v>1700</v>
      </c>
      <c r="P72" s="210">
        <v>1600</v>
      </c>
      <c r="Q72" s="212">
        <f t="shared" si="8"/>
        <v>5300</v>
      </c>
      <c r="R72" s="210">
        <v>1800</v>
      </c>
      <c r="S72" s="210">
        <v>1700</v>
      </c>
      <c r="T72" s="222">
        <v>1700</v>
      </c>
      <c r="U72" s="212">
        <f t="shared" si="9"/>
        <v>5200</v>
      </c>
      <c r="V72" s="210">
        <v>1700</v>
      </c>
      <c r="W72" s="210">
        <v>1700</v>
      </c>
      <c r="X72" s="210">
        <v>1600</v>
      </c>
      <c r="Y72" s="212">
        <f t="shared" si="10"/>
        <v>5000</v>
      </c>
      <c r="Z72" s="222">
        <f t="shared" si="12"/>
        <v>20000</v>
      </c>
      <c r="AA72" s="148" t="s">
        <v>0</v>
      </c>
    </row>
    <row r="73" spans="1:27" ht="47.25">
      <c r="A73" s="218" t="s">
        <v>180</v>
      </c>
      <c r="B73" s="198"/>
      <c r="C73" s="8" t="s">
        <v>181</v>
      </c>
      <c r="F73" s="177">
        <v>45000</v>
      </c>
      <c r="G73" s="246"/>
      <c r="I73" s="208"/>
      <c r="J73" s="210"/>
      <c r="K73" s="210"/>
      <c r="L73" s="210">
        <v>1496</v>
      </c>
      <c r="M73" s="212">
        <f t="shared" si="13"/>
        <v>1496</v>
      </c>
      <c r="N73" s="210">
        <v>438</v>
      </c>
      <c r="O73" s="210"/>
      <c r="P73" s="210"/>
      <c r="Q73" s="212">
        <f t="shared" si="8"/>
        <v>438</v>
      </c>
      <c r="R73" s="210">
        <f>3500+1527</f>
        <v>5027</v>
      </c>
      <c r="S73" s="210">
        <v>4661</v>
      </c>
      <c r="T73" s="222">
        <v>5000</v>
      </c>
      <c r="U73" s="212">
        <f t="shared" si="9"/>
        <v>14688</v>
      </c>
      <c r="V73" s="210">
        <v>14000</v>
      </c>
      <c r="W73" s="210">
        <v>14000</v>
      </c>
      <c r="X73" s="210">
        <v>378</v>
      </c>
      <c r="Y73" s="212">
        <f t="shared" si="10"/>
        <v>28378</v>
      </c>
      <c r="Z73" s="222">
        <f t="shared" si="12"/>
        <v>45000</v>
      </c>
      <c r="AA73" s="148" t="s">
        <v>0</v>
      </c>
    </row>
    <row r="74" spans="1:27" ht="16.5" customHeight="1">
      <c r="A74" s="218" t="s">
        <v>46</v>
      </c>
      <c r="B74" s="198"/>
      <c r="C74" s="8" t="s">
        <v>47</v>
      </c>
      <c r="F74" s="238">
        <f>1500+600</f>
        <v>2100</v>
      </c>
      <c r="G74" s="251"/>
      <c r="I74" s="208"/>
      <c r="J74" s="210"/>
      <c r="K74" s="210"/>
      <c r="L74" s="210"/>
      <c r="M74" s="212">
        <f t="shared" si="13"/>
        <v>0</v>
      </c>
      <c r="N74" s="210"/>
      <c r="O74" s="210"/>
      <c r="P74" s="210"/>
      <c r="Q74" s="212">
        <f t="shared" si="8"/>
        <v>0</v>
      </c>
      <c r="R74" s="210"/>
      <c r="S74" s="210"/>
      <c r="T74" s="222"/>
      <c r="U74" s="212">
        <f t="shared" si="9"/>
        <v>0</v>
      </c>
      <c r="V74" s="210">
        <v>1500</v>
      </c>
      <c r="W74" s="210"/>
      <c r="X74" s="210"/>
      <c r="Y74" s="212">
        <f t="shared" si="10"/>
        <v>1500</v>
      </c>
      <c r="Z74" s="222">
        <f t="shared" si="12"/>
        <v>1500</v>
      </c>
      <c r="AA74" s="148" t="s">
        <v>0</v>
      </c>
    </row>
    <row r="75" spans="1:27" ht="16.5" customHeight="1">
      <c r="A75" s="218" t="s">
        <v>28</v>
      </c>
      <c r="B75" s="198"/>
      <c r="C75" s="8" t="s">
        <v>27</v>
      </c>
      <c r="F75" s="177">
        <v>74992</v>
      </c>
      <c r="G75" s="246"/>
      <c r="I75" s="208"/>
      <c r="J75" s="210">
        <v>6242</v>
      </c>
      <c r="K75" s="210">
        <v>6250</v>
      </c>
      <c r="L75" s="210">
        <v>6250</v>
      </c>
      <c r="M75" s="212">
        <f t="shared" si="13"/>
        <v>18742</v>
      </c>
      <c r="N75" s="210">
        <v>6250</v>
      </c>
      <c r="O75" s="210">
        <v>6250</v>
      </c>
      <c r="P75" s="210">
        <v>6250</v>
      </c>
      <c r="Q75" s="212">
        <f t="shared" si="8"/>
        <v>18750</v>
      </c>
      <c r="R75" s="210">
        <v>6250</v>
      </c>
      <c r="S75" s="210">
        <v>6250</v>
      </c>
      <c r="T75" s="222">
        <v>6250</v>
      </c>
      <c r="U75" s="212">
        <f t="shared" si="9"/>
        <v>18750</v>
      </c>
      <c r="V75" s="210">
        <v>6250</v>
      </c>
      <c r="W75" s="210">
        <v>6250</v>
      </c>
      <c r="X75" s="210">
        <v>6250</v>
      </c>
      <c r="Y75" s="212">
        <f t="shared" si="10"/>
        <v>18750</v>
      </c>
      <c r="Z75" s="222">
        <f t="shared" si="12"/>
        <v>74992</v>
      </c>
      <c r="AA75" s="148" t="s">
        <v>326</v>
      </c>
    </row>
    <row r="76" spans="1:27" ht="16.5" customHeight="1">
      <c r="A76" s="218" t="s">
        <v>48</v>
      </c>
      <c r="B76" s="198"/>
      <c r="C76" s="8" t="s">
        <v>49</v>
      </c>
      <c r="F76" s="177">
        <v>5500</v>
      </c>
      <c r="G76" s="246"/>
      <c r="I76" s="208"/>
      <c r="J76" s="210">
        <v>700</v>
      </c>
      <c r="K76" s="210"/>
      <c r="L76" s="210"/>
      <c r="M76" s="212">
        <f t="shared" si="13"/>
        <v>700</v>
      </c>
      <c r="N76" s="210"/>
      <c r="O76" s="210"/>
      <c r="P76" s="210"/>
      <c r="Q76" s="212">
        <f t="shared" si="8"/>
        <v>0</v>
      </c>
      <c r="R76" s="210"/>
      <c r="S76" s="210"/>
      <c r="T76" s="222">
        <v>4800</v>
      </c>
      <c r="U76" s="212">
        <f t="shared" si="9"/>
        <v>4800</v>
      </c>
      <c r="V76" s="210"/>
      <c r="W76" s="210"/>
      <c r="X76" s="210"/>
      <c r="Y76" s="212">
        <f t="shared" si="10"/>
        <v>0</v>
      </c>
      <c r="Z76" s="222">
        <f t="shared" si="12"/>
        <v>5500</v>
      </c>
      <c r="AA76" s="148" t="s">
        <v>0</v>
      </c>
    </row>
    <row r="77" spans="1:27" ht="16.5" customHeight="1">
      <c r="A77" s="236" t="s">
        <v>490</v>
      </c>
      <c r="B77" s="198"/>
      <c r="C77" s="8" t="s">
        <v>334</v>
      </c>
      <c r="F77" s="235">
        <f>7000+5000</f>
        <v>12000</v>
      </c>
      <c r="G77" s="248"/>
      <c r="I77" s="208"/>
      <c r="J77" s="210"/>
      <c r="K77" s="210"/>
      <c r="L77" s="210"/>
      <c r="M77" s="212">
        <f t="shared" si="13"/>
        <v>0</v>
      </c>
      <c r="N77" s="210"/>
      <c r="O77" s="210">
        <v>3000</v>
      </c>
      <c r="P77" s="210"/>
      <c r="Q77" s="212">
        <f t="shared" si="8"/>
        <v>3000</v>
      </c>
      <c r="R77" s="210">
        <v>1000</v>
      </c>
      <c r="S77" s="210">
        <v>1500</v>
      </c>
      <c r="T77" s="222">
        <v>3000</v>
      </c>
      <c r="U77" s="212">
        <f t="shared" si="9"/>
        <v>5500</v>
      </c>
      <c r="V77" s="210">
        <v>3500</v>
      </c>
      <c r="W77" s="210"/>
      <c r="X77" s="210"/>
      <c r="Y77" s="212">
        <f t="shared" si="10"/>
        <v>3500</v>
      </c>
      <c r="Z77" s="222">
        <f t="shared" si="12"/>
        <v>12000</v>
      </c>
      <c r="AA77" s="148" t="s">
        <v>0</v>
      </c>
    </row>
    <row r="78" spans="1:27" ht="16.5" customHeight="1">
      <c r="A78" s="218" t="s">
        <v>30</v>
      </c>
      <c r="B78" s="198"/>
      <c r="C78" s="8" t="s">
        <v>29</v>
      </c>
      <c r="F78" s="177">
        <f>6900+6900+6204+6900+4824+6900</f>
        <v>38628</v>
      </c>
      <c r="G78" s="246"/>
      <c r="I78" s="208"/>
      <c r="J78" s="210">
        <v>3219</v>
      </c>
      <c r="K78" s="210">
        <v>3219</v>
      </c>
      <c r="L78" s="210">
        <v>3219</v>
      </c>
      <c r="M78" s="212">
        <f t="shared" si="13"/>
        <v>9657</v>
      </c>
      <c r="N78" s="210">
        <v>3219</v>
      </c>
      <c r="O78" s="210">
        <v>3219</v>
      </c>
      <c r="P78" s="210">
        <v>3219</v>
      </c>
      <c r="Q78" s="212">
        <f t="shared" si="8"/>
        <v>9657</v>
      </c>
      <c r="R78" s="210">
        <v>3219</v>
      </c>
      <c r="S78" s="210">
        <v>3219</v>
      </c>
      <c r="T78" s="222">
        <v>3219</v>
      </c>
      <c r="U78" s="212">
        <f t="shared" si="9"/>
        <v>9657</v>
      </c>
      <c r="V78" s="210">
        <v>3219</v>
      </c>
      <c r="W78" s="210">
        <v>3219</v>
      </c>
      <c r="X78" s="210">
        <v>3219</v>
      </c>
      <c r="Y78" s="212">
        <f t="shared" si="10"/>
        <v>9657</v>
      </c>
      <c r="Z78" s="222">
        <f t="shared" si="12"/>
        <v>38628</v>
      </c>
      <c r="AA78" s="148" t="s">
        <v>0</v>
      </c>
    </row>
    <row r="79" spans="1:27" ht="16.5" customHeight="1">
      <c r="A79" s="236" t="s">
        <v>487</v>
      </c>
      <c r="B79" s="198"/>
      <c r="C79" s="8" t="s">
        <v>488</v>
      </c>
      <c r="F79" s="235">
        <v>175000</v>
      </c>
      <c r="G79" s="248"/>
      <c r="I79" s="208"/>
      <c r="J79" s="210"/>
      <c r="K79" s="210"/>
      <c r="L79" s="210">
        <v>43750</v>
      </c>
      <c r="M79" s="212">
        <f t="shared" si="13"/>
        <v>43750</v>
      </c>
      <c r="N79" s="210"/>
      <c r="O79" s="210"/>
      <c r="P79" s="210">
        <v>43750</v>
      </c>
      <c r="Q79" s="212">
        <f t="shared" si="8"/>
        <v>43750</v>
      </c>
      <c r="R79" s="210"/>
      <c r="S79" s="210"/>
      <c r="T79" s="222">
        <v>43750</v>
      </c>
      <c r="U79" s="212">
        <f t="shared" si="9"/>
        <v>43750</v>
      </c>
      <c r="V79" s="210"/>
      <c r="W79" s="210"/>
      <c r="X79" s="210">
        <v>43750</v>
      </c>
      <c r="Y79" s="212">
        <f t="shared" si="10"/>
        <v>43750</v>
      </c>
      <c r="Z79" s="222">
        <f t="shared" si="12"/>
        <v>175000</v>
      </c>
      <c r="AA79" s="148" t="s">
        <v>326</v>
      </c>
    </row>
    <row r="80" spans="1:27" ht="16.5" customHeight="1">
      <c r="A80" s="236" t="s">
        <v>484</v>
      </c>
      <c r="B80" s="198"/>
      <c r="C80" s="8" t="s">
        <v>378</v>
      </c>
      <c r="F80" s="235">
        <v>180000</v>
      </c>
      <c r="G80" s="248"/>
      <c r="I80" s="208"/>
      <c r="J80" s="210"/>
      <c r="K80" s="210"/>
      <c r="L80" s="210">
        <v>45000</v>
      </c>
      <c r="M80" s="212">
        <f t="shared" si="13"/>
        <v>45000</v>
      </c>
      <c r="N80" s="210"/>
      <c r="O80" s="210"/>
      <c r="P80" s="210">
        <v>45000</v>
      </c>
      <c r="Q80" s="212">
        <f t="shared" si="8"/>
        <v>45000</v>
      </c>
      <c r="R80" s="210"/>
      <c r="S80" s="210"/>
      <c r="T80" s="210">
        <v>45000</v>
      </c>
      <c r="U80" s="212">
        <f t="shared" si="9"/>
        <v>45000</v>
      </c>
      <c r="V80" s="210"/>
      <c r="W80" s="210"/>
      <c r="X80" s="210">
        <v>45000</v>
      </c>
      <c r="Y80" s="212">
        <f t="shared" si="10"/>
        <v>45000</v>
      </c>
      <c r="Z80" s="222">
        <f t="shared" si="12"/>
        <v>180000</v>
      </c>
      <c r="AA80" s="148" t="s">
        <v>326</v>
      </c>
    </row>
    <row r="81" spans="1:27" ht="16.5" customHeight="1">
      <c r="A81" s="236" t="s">
        <v>485</v>
      </c>
      <c r="B81" s="198"/>
      <c r="C81" s="8" t="s">
        <v>486</v>
      </c>
      <c r="F81" s="235">
        <v>167000</v>
      </c>
      <c r="G81" s="248"/>
      <c r="I81" s="208"/>
      <c r="J81" s="210"/>
      <c r="K81" s="210"/>
      <c r="L81" s="210">
        <v>41750</v>
      </c>
      <c r="M81" s="212">
        <f t="shared" si="13"/>
        <v>41750</v>
      </c>
      <c r="N81" s="210"/>
      <c r="O81" s="210"/>
      <c r="P81" s="210">
        <v>41750</v>
      </c>
      <c r="Q81" s="212">
        <f t="shared" si="8"/>
        <v>41750</v>
      </c>
      <c r="R81" s="210"/>
      <c r="S81" s="210"/>
      <c r="T81" s="210">
        <v>41750</v>
      </c>
      <c r="U81" s="212">
        <f t="shared" si="9"/>
        <v>41750</v>
      </c>
      <c r="V81" s="210"/>
      <c r="W81" s="210"/>
      <c r="X81" s="210">
        <v>41750</v>
      </c>
      <c r="Y81" s="212">
        <f t="shared" si="10"/>
        <v>41750</v>
      </c>
      <c r="Z81" s="222">
        <f t="shared" si="12"/>
        <v>167000</v>
      </c>
      <c r="AA81" s="148" t="s">
        <v>326</v>
      </c>
    </row>
    <row r="82" spans="1:27" ht="16.5" customHeight="1">
      <c r="A82" s="236" t="s">
        <v>489</v>
      </c>
      <c r="B82" s="198"/>
      <c r="C82" s="8" t="s">
        <v>8</v>
      </c>
      <c r="F82" s="235"/>
      <c r="G82" s="248"/>
      <c r="I82" s="208"/>
      <c r="J82" s="210"/>
      <c r="K82" s="210"/>
      <c r="L82" s="210"/>
      <c r="M82" s="212">
        <f>SUM(J82:L82)</f>
        <v>0</v>
      </c>
      <c r="N82" s="210"/>
      <c r="O82" s="210"/>
      <c r="P82" s="210"/>
      <c r="Q82" s="212">
        <f>SUM(N82:P82)</f>
        <v>0</v>
      </c>
      <c r="R82" s="210">
        <v>0</v>
      </c>
      <c r="S82" s="210">
        <v>0</v>
      </c>
      <c r="T82" s="222">
        <v>0</v>
      </c>
      <c r="U82" s="212">
        <f t="shared" si="9"/>
        <v>0</v>
      </c>
      <c r="V82" s="210">
        <v>0</v>
      </c>
      <c r="W82" s="210">
        <v>0</v>
      </c>
      <c r="X82" s="210">
        <v>0</v>
      </c>
      <c r="Y82" s="212">
        <f t="shared" si="10"/>
        <v>0</v>
      </c>
      <c r="Z82" s="222">
        <f t="shared" si="12"/>
        <v>0</v>
      </c>
      <c r="AA82" s="148" t="s">
        <v>326</v>
      </c>
    </row>
    <row r="83" spans="1:27" ht="16.5" customHeight="1">
      <c r="A83" s="218" t="s">
        <v>52</v>
      </c>
      <c r="B83" s="198"/>
      <c r="C83" s="8" t="s">
        <v>363</v>
      </c>
      <c r="F83" s="177">
        <v>191750</v>
      </c>
      <c r="G83" s="246"/>
      <c r="I83" s="208"/>
      <c r="J83" s="210">
        <f>13000+10500</f>
        <v>23500</v>
      </c>
      <c r="K83" s="210">
        <v>40000</v>
      </c>
      <c r="L83" s="210">
        <v>45500</v>
      </c>
      <c r="M83" s="212">
        <f t="shared" si="13"/>
        <v>109000</v>
      </c>
      <c r="N83" s="210">
        <v>40000</v>
      </c>
      <c r="O83" s="210">
        <v>42750</v>
      </c>
      <c r="P83" s="210"/>
      <c r="Q83" s="212">
        <f t="shared" si="8"/>
        <v>82750</v>
      </c>
      <c r="R83" s="210"/>
      <c r="S83" s="210"/>
      <c r="T83" s="210"/>
      <c r="U83" s="212">
        <f t="shared" si="9"/>
        <v>0</v>
      </c>
      <c r="V83" s="210"/>
      <c r="W83" s="210"/>
      <c r="X83" s="210"/>
      <c r="Y83" s="212">
        <f t="shared" si="10"/>
        <v>0</v>
      </c>
      <c r="Z83" s="222">
        <f t="shared" si="12"/>
        <v>191750</v>
      </c>
      <c r="AA83" s="148" t="s">
        <v>326</v>
      </c>
    </row>
    <row r="84" spans="1:27" ht="16.5" customHeight="1">
      <c r="A84" s="218" t="s">
        <v>339</v>
      </c>
      <c r="B84" s="198"/>
      <c r="C84" s="8" t="s">
        <v>340</v>
      </c>
      <c r="F84" s="177">
        <v>1000</v>
      </c>
      <c r="G84" s="246"/>
      <c r="I84" s="208"/>
      <c r="J84" s="210">
        <v>1000</v>
      </c>
      <c r="K84" s="210"/>
      <c r="L84" s="210"/>
      <c r="M84" s="212">
        <f t="shared" si="13"/>
        <v>1000</v>
      </c>
      <c r="N84" s="210"/>
      <c r="O84" s="210"/>
      <c r="P84" s="210"/>
      <c r="Q84" s="212">
        <f t="shared" si="8"/>
        <v>0</v>
      </c>
      <c r="R84" s="210"/>
      <c r="S84" s="210"/>
      <c r="T84" s="210"/>
      <c r="U84" s="212">
        <f t="shared" si="9"/>
        <v>0</v>
      </c>
      <c r="V84" s="210"/>
      <c r="W84" s="210"/>
      <c r="X84" s="210"/>
      <c r="Y84" s="212">
        <f t="shared" si="10"/>
        <v>0</v>
      </c>
      <c r="Z84" s="222">
        <f t="shared" si="12"/>
        <v>1000</v>
      </c>
      <c r="AA84" s="148" t="s">
        <v>0</v>
      </c>
    </row>
    <row r="85" spans="1:27" ht="16.5" customHeight="1">
      <c r="A85" s="218" t="s">
        <v>5</v>
      </c>
      <c r="B85" s="198"/>
      <c r="C85" s="8" t="s">
        <v>4</v>
      </c>
      <c r="F85" s="177">
        <v>17630</v>
      </c>
      <c r="G85" s="246"/>
      <c r="H85" s="9">
        <f>(783.6+98.09*3)*12</f>
        <v>12934.439999999999</v>
      </c>
      <c r="I85" s="208"/>
      <c r="J85" s="210">
        <v>1468</v>
      </c>
      <c r="K85" s="210">
        <v>1468</v>
      </c>
      <c r="L85" s="210">
        <v>1469</v>
      </c>
      <c r="M85" s="212">
        <f t="shared" si="13"/>
        <v>4405</v>
      </c>
      <c r="N85" s="210">
        <v>1468</v>
      </c>
      <c r="O85" s="210">
        <v>1468</v>
      </c>
      <c r="P85" s="210">
        <v>1469</v>
      </c>
      <c r="Q85" s="212">
        <f t="shared" si="8"/>
        <v>4405</v>
      </c>
      <c r="R85" s="210">
        <v>1468</v>
      </c>
      <c r="S85" s="210">
        <v>1468</v>
      </c>
      <c r="T85" s="210">
        <v>1469</v>
      </c>
      <c r="U85" s="212">
        <f t="shared" si="9"/>
        <v>4405</v>
      </c>
      <c r="V85" s="210">
        <v>1468</v>
      </c>
      <c r="W85" s="210">
        <v>1468</v>
      </c>
      <c r="X85" s="210">
        <v>1479</v>
      </c>
      <c r="Y85" s="212">
        <f t="shared" si="10"/>
        <v>4415</v>
      </c>
      <c r="Z85" s="222">
        <f t="shared" si="12"/>
        <v>17630</v>
      </c>
      <c r="AA85" s="148" t="s">
        <v>0</v>
      </c>
    </row>
    <row r="86" spans="1:27" ht="16.5" customHeight="1">
      <c r="A86" s="218" t="s">
        <v>368</v>
      </c>
      <c r="B86" s="198"/>
      <c r="C86" s="8" t="s">
        <v>369</v>
      </c>
      <c r="D86" s="404"/>
      <c r="E86" s="404"/>
      <c r="F86" s="238">
        <f>45000-600</f>
        <v>44400</v>
      </c>
      <c r="G86" s="251"/>
      <c r="I86" s="208"/>
      <c r="J86" s="210"/>
      <c r="K86" s="210"/>
      <c r="L86" s="210"/>
      <c r="M86" s="212">
        <f t="shared" si="13"/>
        <v>0</v>
      </c>
      <c r="N86" s="210"/>
      <c r="O86" s="210"/>
      <c r="P86" s="210"/>
      <c r="Q86" s="212">
        <f t="shared" si="8"/>
        <v>0</v>
      </c>
      <c r="R86" s="210">
        <v>20000</v>
      </c>
      <c r="S86" s="210">
        <v>0</v>
      </c>
      <c r="T86" s="210"/>
      <c r="U86" s="212">
        <f t="shared" si="9"/>
        <v>20000</v>
      </c>
      <c r="V86" s="210">
        <v>25000</v>
      </c>
      <c r="W86" s="210"/>
      <c r="X86" s="210"/>
      <c r="Y86" s="212">
        <f t="shared" si="10"/>
        <v>25000</v>
      </c>
      <c r="Z86" s="222">
        <f t="shared" si="12"/>
        <v>45000</v>
      </c>
      <c r="AA86" s="148" t="s">
        <v>0</v>
      </c>
    </row>
    <row r="87" spans="1:27" s="215" customFormat="1" ht="16.5" customHeight="1">
      <c r="A87" s="213"/>
      <c r="B87" s="213"/>
      <c r="C87" s="214"/>
      <c r="F87" s="173">
        <f>SUM(F71:F86)</f>
        <v>982000</v>
      </c>
      <c r="G87" s="247"/>
      <c r="J87" s="216">
        <f>SUM(J71:J86)</f>
        <v>37629</v>
      </c>
      <c r="K87" s="216">
        <f>SUM(K71:K86)</f>
        <v>52437</v>
      </c>
      <c r="L87" s="216">
        <f>SUM(L71:L86)</f>
        <v>189934</v>
      </c>
      <c r="M87" s="216">
        <f t="shared" si="13"/>
        <v>280000</v>
      </c>
      <c r="N87" s="216">
        <f>SUM(N71:N86)</f>
        <v>53375</v>
      </c>
      <c r="O87" s="216">
        <f>SUM(O71:O86)</f>
        <v>58387</v>
      </c>
      <c r="P87" s="216">
        <f>SUM(P71:P86)</f>
        <v>143038</v>
      </c>
      <c r="Q87" s="216">
        <f t="shared" si="8"/>
        <v>254800</v>
      </c>
      <c r="R87" s="216">
        <f>SUM(R71:R86)</f>
        <v>38764</v>
      </c>
      <c r="S87" s="216">
        <f>SUM(S71:S86)</f>
        <v>18798</v>
      </c>
      <c r="T87" s="216">
        <f>SUM(T71:T86)</f>
        <v>159438</v>
      </c>
      <c r="U87" s="216">
        <f t="shared" si="9"/>
        <v>217000</v>
      </c>
      <c r="V87" s="216">
        <f>SUM(V71:V86)</f>
        <v>60137</v>
      </c>
      <c r="W87" s="216">
        <f>SUM(W71:W86)</f>
        <v>26637</v>
      </c>
      <c r="X87" s="216">
        <f>SUM(X71:X86)</f>
        <v>143426</v>
      </c>
      <c r="Y87" s="216">
        <f>SUM(V87:X87)</f>
        <v>230200</v>
      </c>
      <c r="Z87" s="216">
        <f t="shared" si="12"/>
        <v>982000</v>
      </c>
      <c r="AA87" s="217"/>
    </row>
    <row r="88" spans="1:27" ht="16.5" customHeight="1">
      <c r="A88" s="218" t="s">
        <v>459</v>
      </c>
      <c r="B88" s="199"/>
      <c r="C88" s="8"/>
      <c r="F88" s="177">
        <v>300000</v>
      </c>
      <c r="G88" s="246"/>
      <c r="I88" s="208"/>
      <c r="J88" s="210">
        <v>20000</v>
      </c>
      <c r="K88" s="210">
        <v>32470</v>
      </c>
      <c r="L88" s="210">
        <v>42270</v>
      </c>
      <c r="M88" s="212">
        <f t="shared" si="13"/>
        <v>94740</v>
      </c>
      <c r="N88" s="210">
        <v>22800</v>
      </c>
      <c r="O88" s="210">
        <v>22800</v>
      </c>
      <c r="P88" s="210">
        <v>22800</v>
      </c>
      <c r="Q88" s="212">
        <f t="shared" si="8"/>
        <v>68400</v>
      </c>
      <c r="R88" s="210">
        <v>22800</v>
      </c>
      <c r="S88" s="210">
        <v>22800</v>
      </c>
      <c r="T88" s="210">
        <v>22800</v>
      </c>
      <c r="U88" s="212">
        <f t="shared" si="9"/>
        <v>68400</v>
      </c>
      <c r="V88" s="210">
        <v>22800</v>
      </c>
      <c r="W88" s="210">
        <v>22800</v>
      </c>
      <c r="X88" s="210">
        <v>22860</v>
      </c>
      <c r="Y88" s="212">
        <f t="shared" si="10"/>
        <v>68460</v>
      </c>
      <c r="Z88" s="210">
        <f t="shared" si="12"/>
        <v>300000</v>
      </c>
      <c r="AA88" s="148" t="s">
        <v>472</v>
      </c>
    </row>
    <row r="89" spans="1:27" ht="16.5" customHeight="1">
      <c r="A89" s="218" t="s">
        <v>460</v>
      </c>
      <c r="B89" s="199"/>
      <c r="C89" s="8"/>
      <c r="F89" s="177">
        <v>400000</v>
      </c>
      <c r="G89" s="246"/>
      <c r="I89" s="208"/>
      <c r="J89" s="210"/>
      <c r="K89" s="210"/>
      <c r="L89" s="210"/>
      <c r="M89" s="212">
        <f t="shared" si="13"/>
        <v>0</v>
      </c>
      <c r="N89" s="210">
        <v>22150</v>
      </c>
      <c r="O89" s="210">
        <v>38300</v>
      </c>
      <c r="P89" s="210">
        <v>30375</v>
      </c>
      <c r="Q89" s="212">
        <f t="shared" si="8"/>
        <v>90825</v>
      </c>
      <c r="R89" s="210">
        <v>27400</v>
      </c>
      <c r="S89" s="210">
        <v>30375</v>
      </c>
      <c r="T89" s="210">
        <v>30400</v>
      </c>
      <c r="U89" s="212">
        <f t="shared" si="9"/>
        <v>88175</v>
      </c>
      <c r="V89" s="210">
        <v>77200</v>
      </c>
      <c r="W89" s="210">
        <v>71930</v>
      </c>
      <c r="X89" s="210">
        <v>71870</v>
      </c>
      <c r="Y89" s="212">
        <f t="shared" si="10"/>
        <v>221000</v>
      </c>
      <c r="Z89" s="210">
        <f t="shared" si="12"/>
        <v>400000</v>
      </c>
      <c r="AA89" s="148" t="s">
        <v>472</v>
      </c>
    </row>
    <row r="90" spans="1:27" s="215" customFormat="1" ht="16.5" customHeight="1">
      <c r="A90" s="213"/>
      <c r="B90" s="213"/>
      <c r="C90" s="214"/>
      <c r="F90" s="173">
        <f>SUM(F88:F89)</f>
        <v>700000</v>
      </c>
      <c r="G90" s="247"/>
      <c r="J90" s="216">
        <f>SUM(J88:J89)</f>
        <v>20000</v>
      </c>
      <c r="K90" s="216">
        <f>SUM(K88:K89)</f>
        <v>32470</v>
      </c>
      <c r="L90" s="216">
        <f>SUM(L88:L89)</f>
        <v>42270</v>
      </c>
      <c r="M90" s="216">
        <f aca="true" t="shared" si="14" ref="M90:M96">SUM(J90:L90)</f>
        <v>94740</v>
      </c>
      <c r="N90" s="216">
        <f>SUM(N88:N89)</f>
        <v>44950</v>
      </c>
      <c r="O90" s="216">
        <f>SUM(O88:O89)</f>
        <v>61100</v>
      </c>
      <c r="P90" s="216">
        <f>SUM(P88:P89)</f>
        <v>53175</v>
      </c>
      <c r="Q90" s="216">
        <f aca="true" t="shared" si="15" ref="Q90:Q96">SUM(N90:P90)</f>
        <v>159225</v>
      </c>
      <c r="R90" s="216">
        <f>SUM(R88:R89)</f>
        <v>50200</v>
      </c>
      <c r="S90" s="216">
        <f>SUM(S88:S89)</f>
        <v>53175</v>
      </c>
      <c r="T90" s="216">
        <f>SUM(T88:T89)</f>
        <v>53200</v>
      </c>
      <c r="U90" s="216">
        <f aca="true" t="shared" si="16" ref="U90:U96">SUM(R90:T90)</f>
        <v>156575</v>
      </c>
      <c r="V90" s="216">
        <f>SUM(V88:V89)</f>
        <v>100000</v>
      </c>
      <c r="W90" s="216">
        <f>SUM(W88:W89)</f>
        <v>94730</v>
      </c>
      <c r="X90" s="216">
        <f>SUM(X88:X89)</f>
        <v>94730</v>
      </c>
      <c r="Y90" s="216">
        <f aca="true" t="shared" si="17" ref="Y90:Y96">SUM(V90:X90)</f>
        <v>289460</v>
      </c>
      <c r="Z90" s="216">
        <f t="shared" si="12"/>
        <v>700000</v>
      </c>
      <c r="AA90" s="217"/>
    </row>
    <row r="91" spans="1:27" ht="16.5" customHeight="1">
      <c r="A91" s="218" t="s">
        <v>407</v>
      </c>
      <c r="C91" s="8" t="s">
        <v>406</v>
      </c>
      <c r="F91" s="177">
        <v>40000</v>
      </c>
      <c r="G91" s="246"/>
      <c r="J91" s="210"/>
      <c r="K91" s="210"/>
      <c r="L91" s="210">
        <v>40000</v>
      </c>
      <c r="M91" s="212">
        <f t="shared" si="14"/>
        <v>40000</v>
      </c>
      <c r="N91" s="210"/>
      <c r="O91" s="210"/>
      <c r="P91" s="210"/>
      <c r="Q91" s="212">
        <f t="shared" si="15"/>
        <v>0</v>
      </c>
      <c r="R91" s="210"/>
      <c r="S91" s="210"/>
      <c r="T91" s="210"/>
      <c r="U91" s="212">
        <f t="shared" si="16"/>
        <v>0</v>
      </c>
      <c r="V91" s="210"/>
      <c r="W91" s="210"/>
      <c r="X91" s="210"/>
      <c r="Y91" s="212">
        <f t="shared" si="17"/>
        <v>0</v>
      </c>
      <c r="Z91" s="210">
        <f aca="true" t="shared" si="18" ref="Z91:Z96">M91+Q91+U91+Y91</f>
        <v>40000</v>
      </c>
      <c r="AA91" s="148" t="s">
        <v>326</v>
      </c>
    </row>
    <row r="92" spans="1:27" ht="39.75" customHeight="1">
      <c r="A92" s="218" t="s">
        <v>411</v>
      </c>
      <c r="C92" s="196" t="s">
        <v>277</v>
      </c>
      <c r="D92" s="9">
        <v>7050</v>
      </c>
      <c r="E92" s="9">
        <v>10</v>
      </c>
      <c r="F92" s="177">
        <f>D92*E92</f>
        <v>70500</v>
      </c>
      <c r="G92" s="246"/>
      <c r="I92" s="206"/>
      <c r="J92" s="210"/>
      <c r="K92" s="210"/>
      <c r="L92" s="210">
        <v>29500</v>
      </c>
      <c r="M92" s="212">
        <f t="shared" si="14"/>
        <v>29500</v>
      </c>
      <c r="N92" s="210"/>
      <c r="O92" s="210"/>
      <c r="P92" s="210"/>
      <c r="Q92" s="212">
        <f t="shared" si="15"/>
        <v>0</v>
      </c>
      <c r="R92" s="210"/>
      <c r="S92" s="210"/>
      <c r="T92" s="210">
        <v>41000</v>
      </c>
      <c r="U92" s="212">
        <f t="shared" si="16"/>
        <v>41000</v>
      </c>
      <c r="V92" s="210"/>
      <c r="W92" s="210"/>
      <c r="X92" s="210"/>
      <c r="Y92" s="212">
        <f t="shared" si="17"/>
        <v>0</v>
      </c>
      <c r="Z92" s="210">
        <f t="shared" si="18"/>
        <v>70500</v>
      </c>
      <c r="AA92" s="148" t="s">
        <v>326</v>
      </c>
    </row>
    <row r="93" spans="1:27" ht="16.5" customHeight="1">
      <c r="A93" s="218" t="s">
        <v>426</v>
      </c>
      <c r="C93" s="8" t="s">
        <v>219</v>
      </c>
      <c r="F93" s="177">
        <f>183200-F94+6300</f>
        <v>30500</v>
      </c>
      <c r="G93" s="246"/>
      <c r="J93" s="210"/>
      <c r="K93" s="210"/>
      <c r="L93" s="210">
        <v>30500</v>
      </c>
      <c r="M93" s="212">
        <f t="shared" si="14"/>
        <v>30500</v>
      </c>
      <c r="N93" s="210"/>
      <c r="O93" s="210"/>
      <c r="P93" s="210"/>
      <c r="Q93" s="212">
        <f t="shared" si="15"/>
        <v>0</v>
      </c>
      <c r="R93" s="210"/>
      <c r="S93" s="210"/>
      <c r="T93" s="210"/>
      <c r="U93" s="212">
        <f t="shared" si="16"/>
        <v>0</v>
      </c>
      <c r="V93" s="210"/>
      <c r="W93" s="210"/>
      <c r="X93" s="210"/>
      <c r="Y93" s="212">
        <f t="shared" si="17"/>
        <v>0</v>
      </c>
      <c r="Z93" s="210">
        <f t="shared" si="18"/>
        <v>30500</v>
      </c>
      <c r="AA93" s="148" t="s">
        <v>326</v>
      </c>
    </row>
    <row r="94" spans="1:27" ht="16.5" customHeight="1">
      <c r="A94" s="218" t="s">
        <v>427</v>
      </c>
      <c r="C94" s="8" t="s">
        <v>406</v>
      </c>
      <c r="D94" s="9">
        <v>79500</v>
      </c>
      <c r="E94" s="9">
        <v>2</v>
      </c>
      <c r="F94" s="177">
        <f>D94*E94</f>
        <v>159000</v>
      </c>
      <c r="G94" s="246"/>
      <c r="J94" s="210"/>
      <c r="K94" s="210"/>
      <c r="L94" s="210"/>
      <c r="M94" s="212">
        <f t="shared" si="14"/>
        <v>0</v>
      </c>
      <c r="N94" s="210"/>
      <c r="O94" s="210"/>
      <c r="P94" s="210"/>
      <c r="Q94" s="212">
        <f t="shared" si="15"/>
        <v>0</v>
      </c>
      <c r="R94" s="210"/>
      <c r="S94" s="210"/>
      <c r="T94" s="210">
        <v>159000</v>
      </c>
      <c r="U94" s="212">
        <f t="shared" si="16"/>
        <v>159000</v>
      </c>
      <c r="V94" s="210"/>
      <c r="W94" s="210"/>
      <c r="X94" s="210"/>
      <c r="Y94" s="212">
        <f t="shared" si="17"/>
        <v>0</v>
      </c>
      <c r="Z94" s="210">
        <f t="shared" si="18"/>
        <v>159000</v>
      </c>
      <c r="AA94" s="148" t="s">
        <v>326</v>
      </c>
    </row>
    <row r="95" spans="1:27" ht="16.5" customHeight="1">
      <c r="A95" s="236" t="s">
        <v>15</v>
      </c>
      <c r="B95" s="198"/>
      <c r="C95" s="8" t="s">
        <v>230</v>
      </c>
      <c r="F95" s="235">
        <v>8000</v>
      </c>
      <c r="G95" s="248"/>
      <c r="I95" s="69"/>
      <c r="J95" s="210">
        <v>0</v>
      </c>
      <c r="K95" s="210">
        <v>8000</v>
      </c>
      <c r="L95" s="210"/>
      <c r="M95" s="212">
        <f t="shared" si="14"/>
        <v>8000</v>
      </c>
      <c r="N95" s="210"/>
      <c r="O95" s="210"/>
      <c r="P95" s="210"/>
      <c r="Q95" s="212">
        <f t="shared" si="15"/>
        <v>0</v>
      </c>
      <c r="R95" s="210"/>
      <c r="S95" s="210"/>
      <c r="T95" s="210"/>
      <c r="U95" s="212">
        <f t="shared" si="16"/>
        <v>0</v>
      </c>
      <c r="V95" s="210"/>
      <c r="W95" s="210"/>
      <c r="X95" s="210"/>
      <c r="Y95" s="212">
        <f t="shared" si="17"/>
        <v>0</v>
      </c>
      <c r="Z95" s="210">
        <f t="shared" si="18"/>
        <v>8000</v>
      </c>
      <c r="AA95" s="148" t="s">
        <v>0</v>
      </c>
    </row>
    <row r="96" spans="1:27" s="215" customFormat="1" ht="16.5" customHeight="1">
      <c r="A96" s="213"/>
      <c r="B96" s="213"/>
      <c r="C96" s="214"/>
      <c r="F96" s="173">
        <f>SUM(F91:F95)</f>
        <v>308000</v>
      </c>
      <c r="G96" s="247"/>
      <c r="J96" s="216">
        <f>SUM(J91:J95)</f>
        <v>0</v>
      </c>
      <c r="K96" s="216">
        <f>SUM(K91:K95)</f>
        <v>8000</v>
      </c>
      <c r="L96" s="216">
        <f>SUM(L91:L95)</f>
        <v>100000</v>
      </c>
      <c r="M96" s="216">
        <f t="shared" si="14"/>
        <v>108000</v>
      </c>
      <c r="N96" s="216">
        <f>SUM(N91:N95)</f>
        <v>0</v>
      </c>
      <c r="O96" s="216">
        <f>SUM(O91:O95)</f>
        <v>0</v>
      </c>
      <c r="P96" s="216">
        <f>SUM(P91:P95)</f>
        <v>0</v>
      </c>
      <c r="Q96" s="216">
        <f t="shared" si="15"/>
        <v>0</v>
      </c>
      <c r="R96" s="216">
        <f>SUM(R91:R95)</f>
        <v>0</v>
      </c>
      <c r="S96" s="216">
        <f>SUM(S91:S95)</f>
        <v>0</v>
      </c>
      <c r="T96" s="216">
        <f>SUM(T91:T95)</f>
        <v>200000</v>
      </c>
      <c r="U96" s="216">
        <f t="shared" si="16"/>
        <v>200000</v>
      </c>
      <c r="V96" s="216">
        <f>SUM(V91:V95)</f>
        <v>0</v>
      </c>
      <c r="W96" s="216">
        <f>SUM(W91:W95)</f>
        <v>0</v>
      </c>
      <c r="X96" s="216">
        <f>SUM(X91:X95)</f>
        <v>0</v>
      </c>
      <c r="Y96" s="216">
        <f t="shared" si="17"/>
        <v>0</v>
      </c>
      <c r="Z96" s="216">
        <f t="shared" si="18"/>
        <v>308000</v>
      </c>
      <c r="AA96" s="217"/>
    </row>
    <row r="97" spans="1:27" ht="16.5" customHeight="1">
      <c r="A97" s="77" t="s">
        <v>466</v>
      </c>
      <c r="C97" s="8"/>
      <c r="F97" s="177">
        <v>22113666.68</v>
      </c>
      <c r="G97" s="246"/>
      <c r="J97" s="210">
        <v>1650000</v>
      </c>
      <c r="K97" s="210">
        <v>1890000</v>
      </c>
      <c r="L97" s="210">
        <v>2103479.59</v>
      </c>
      <c r="M97" s="212">
        <f t="shared" si="13"/>
        <v>5643479.59</v>
      </c>
      <c r="N97" s="210">
        <v>1839607.33</v>
      </c>
      <c r="O97" s="210">
        <v>1839607.33</v>
      </c>
      <c r="P97" s="210">
        <v>1839607.33</v>
      </c>
      <c r="Q97" s="212">
        <f t="shared" si="8"/>
        <v>5518821.99</v>
      </c>
      <c r="R97" s="210">
        <v>1825106.23</v>
      </c>
      <c r="S97" s="210">
        <v>1825106.23</v>
      </c>
      <c r="T97" s="210">
        <v>1825106.24</v>
      </c>
      <c r="U97" s="212">
        <f t="shared" si="9"/>
        <v>5475318.7</v>
      </c>
      <c r="V97" s="210">
        <v>1825348.8</v>
      </c>
      <c r="W97" s="210">
        <v>1825348.8</v>
      </c>
      <c r="X97" s="210">
        <v>1825348.8</v>
      </c>
      <c r="Y97" s="212">
        <f t="shared" si="10"/>
        <v>5476046.4</v>
      </c>
      <c r="Z97" s="210">
        <f t="shared" si="12"/>
        <v>22113666.68</v>
      </c>
      <c r="AA97" s="148"/>
    </row>
    <row r="98" spans="1:27" ht="16.5" customHeight="1">
      <c r="A98" s="77" t="s">
        <v>467</v>
      </c>
      <c r="C98" s="8"/>
      <c r="F98" s="177">
        <v>4826815.13</v>
      </c>
      <c r="G98" s="246"/>
      <c r="J98" s="210">
        <v>360000</v>
      </c>
      <c r="K98" s="210">
        <v>415800</v>
      </c>
      <c r="L98" s="210">
        <v>456165.59</v>
      </c>
      <c r="M98" s="212">
        <f t="shared" si="13"/>
        <v>1231965.59</v>
      </c>
      <c r="N98" s="210">
        <v>401543.06</v>
      </c>
      <c r="O98" s="210">
        <v>401543.06</v>
      </c>
      <c r="P98" s="210">
        <v>401543.07</v>
      </c>
      <c r="Q98" s="212">
        <f t="shared" si="8"/>
        <v>1204629.19</v>
      </c>
      <c r="R98" s="210">
        <v>398343.37</v>
      </c>
      <c r="S98" s="210">
        <v>398343.37</v>
      </c>
      <c r="T98" s="210">
        <v>398343.38</v>
      </c>
      <c r="U98" s="212">
        <f t="shared" si="9"/>
        <v>1195030.12</v>
      </c>
      <c r="V98" s="210">
        <v>398396.74</v>
      </c>
      <c r="W98" s="210">
        <v>398396.74</v>
      </c>
      <c r="X98" s="210">
        <v>398396.75</v>
      </c>
      <c r="Y98" s="212">
        <f t="shared" si="10"/>
        <v>1195190.23</v>
      </c>
      <c r="Z98" s="210">
        <f t="shared" si="12"/>
        <v>4826815.130000001</v>
      </c>
      <c r="AA98" s="148"/>
    </row>
    <row r="99" spans="1:27" ht="16.5" customHeight="1">
      <c r="A99" s="77" t="s">
        <v>468</v>
      </c>
      <c r="C99" s="8"/>
      <c r="F99" s="177">
        <v>3371400</v>
      </c>
      <c r="G99" s="246"/>
      <c r="J99" s="210">
        <v>260000</v>
      </c>
      <c r="K99" s="210">
        <v>300000</v>
      </c>
      <c r="L99" s="210">
        <v>340000</v>
      </c>
      <c r="M99" s="212">
        <f t="shared" si="13"/>
        <v>900000</v>
      </c>
      <c r="N99" s="210">
        <v>285133.33</v>
      </c>
      <c r="O99" s="210">
        <v>285133.33</v>
      </c>
      <c r="P99" s="210">
        <v>285133.34</v>
      </c>
      <c r="Q99" s="212">
        <f t="shared" si="8"/>
        <v>855400</v>
      </c>
      <c r="R99" s="210">
        <v>269333.33</v>
      </c>
      <c r="S99" s="210">
        <v>269333.33</v>
      </c>
      <c r="T99" s="210">
        <v>269333.34</v>
      </c>
      <c r="U99" s="212">
        <f t="shared" si="9"/>
        <v>808000</v>
      </c>
      <c r="V99" s="210">
        <v>269333.33</v>
      </c>
      <c r="W99" s="210">
        <v>269333.33</v>
      </c>
      <c r="X99" s="210">
        <v>269333.34</v>
      </c>
      <c r="Y99" s="212">
        <f t="shared" si="10"/>
        <v>808000</v>
      </c>
      <c r="Z99" s="210">
        <f t="shared" si="12"/>
        <v>3371400</v>
      </c>
      <c r="AA99" s="148"/>
    </row>
    <row r="100" spans="1:27" ht="16.5" customHeight="1">
      <c r="A100" s="77" t="s">
        <v>469</v>
      </c>
      <c r="C100" s="8"/>
      <c r="F100" s="177">
        <v>741500</v>
      </c>
      <c r="G100" s="246"/>
      <c r="J100" s="210">
        <v>57200</v>
      </c>
      <c r="K100" s="210">
        <v>66000</v>
      </c>
      <c r="L100" s="210">
        <v>74800</v>
      </c>
      <c r="M100" s="212">
        <f t="shared" si="13"/>
        <v>198000</v>
      </c>
      <c r="N100" s="210">
        <v>62700</v>
      </c>
      <c r="O100" s="210">
        <v>62700</v>
      </c>
      <c r="P100" s="210">
        <v>62700</v>
      </c>
      <c r="Q100" s="212">
        <f t="shared" si="8"/>
        <v>188100</v>
      </c>
      <c r="R100" s="210">
        <v>59233.33</v>
      </c>
      <c r="S100" s="210">
        <v>59233.33</v>
      </c>
      <c r="T100" s="210">
        <v>59233.34</v>
      </c>
      <c r="U100" s="212">
        <f t="shared" si="9"/>
        <v>177700</v>
      </c>
      <c r="V100" s="210">
        <v>59233.33</v>
      </c>
      <c r="W100" s="210">
        <v>59233.33</v>
      </c>
      <c r="X100" s="210">
        <v>59233.34</v>
      </c>
      <c r="Y100" s="212">
        <f t="shared" si="10"/>
        <v>177700</v>
      </c>
      <c r="Z100" s="210">
        <f t="shared" si="12"/>
        <v>741500</v>
      </c>
      <c r="AA100" s="148"/>
    </row>
    <row r="101" spans="1:27" s="215" customFormat="1" ht="16.5" customHeight="1">
      <c r="A101" s="213"/>
      <c r="B101" s="219"/>
      <c r="C101" s="214"/>
      <c r="F101" s="173">
        <f>SUM(F97:F100)</f>
        <v>31053381.81</v>
      </c>
      <c r="G101" s="247"/>
      <c r="J101" s="216">
        <f>SUM(J97:J100)</f>
        <v>2327200</v>
      </c>
      <c r="K101" s="216">
        <f>SUM(K97:K100)</f>
        <v>2671800</v>
      </c>
      <c r="L101" s="216">
        <f>SUM(L97:L100)</f>
        <v>2974445.1799999997</v>
      </c>
      <c r="M101" s="216">
        <f t="shared" si="13"/>
        <v>7973445.18</v>
      </c>
      <c r="N101" s="216">
        <f>SUM(N97:N100)</f>
        <v>2588983.72</v>
      </c>
      <c r="O101" s="216">
        <f>SUM(O97:O100)</f>
        <v>2588983.72</v>
      </c>
      <c r="P101" s="216">
        <f>SUM(P97:P100)</f>
        <v>2588983.7399999998</v>
      </c>
      <c r="Q101" s="216">
        <f t="shared" si="8"/>
        <v>7766951.18</v>
      </c>
      <c r="R101" s="216">
        <f>SUM(R97:R100)</f>
        <v>2552016.2600000002</v>
      </c>
      <c r="S101" s="216">
        <f>SUM(S97:S100)</f>
        <v>2552016.2600000002</v>
      </c>
      <c r="T101" s="216">
        <f>SUM(T97:T100)</f>
        <v>2552016.3</v>
      </c>
      <c r="U101" s="216">
        <f t="shared" si="9"/>
        <v>7656048.82</v>
      </c>
      <c r="V101" s="216">
        <f>SUM(V97:V100)</f>
        <v>2552312.2</v>
      </c>
      <c r="W101" s="216">
        <f>SUM(W97:W100)</f>
        <v>2552312.2</v>
      </c>
      <c r="X101" s="216">
        <f>SUM(X97:X100)</f>
        <v>2552312.2299999995</v>
      </c>
      <c r="Y101" s="216">
        <f t="shared" si="10"/>
        <v>7656936.63</v>
      </c>
      <c r="Z101" s="216">
        <f t="shared" si="12"/>
        <v>31053381.81</v>
      </c>
      <c r="AA101" s="217"/>
    </row>
    <row r="102" spans="1:27" ht="16.5" customHeight="1">
      <c r="A102" s="77" t="s">
        <v>470</v>
      </c>
      <c r="C102" s="8"/>
      <c r="F102" s="177">
        <v>48000</v>
      </c>
      <c r="G102" s="246"/>
      <c r="J102" s="210">
        <v>0</v>
      </c>
      <c r="K102" s="210">
        <v>7500</v>
      </c>
      <c r="L102" s="210">
        <v>7500</v>
      </c>
      <c r="M102" s="212">
        <f t="shared" si="13"/>
        <v>15000</v>
      </c>
      <c r="N102" s="210">
        <v>5000</v>
      </c>
      <c r="O102" s="210">
        <v>5000</v>
      </c>
      <c r="P102" s="210">
        <v>5000</v>
      </c>
      <c r="Q102" s="212">
        <f t="shared" si="8"/>
        <v>15000</v>
      </c>
      <c r="R102" s="210">
        <v>1000</v>
      </c>
      <c r="S102" s="210">
        <v>4500</v>
      </c>
      <c r="T102" s="210">
        <v>4500</v>
      </c>
      <c r="U102" s="212">
        <f t="shared" si="9"/>
        <v>10000</v>
      </c>
      <c r="V102" s="210">
        <v>3500</v>
      </c>
      <c r="W102" s="210">
        <v>3500</v>
      </c>
      <c r="X102" s="210">
        <v>1000</v>
      </c>
      <c r="Y102" s="212">
        <f t="shared" si="10"/>
        <v>8000</v>
      </c>
      <c r="Z102" s="210">
        <f t="shared" si="12"/>
        <v>48000</v>
      </c>
      <c r="AA102" s="148"/>
    </row>
    <row r="103" spans="1:27" ht="16.5" customHeight="1">
      <c r="A103" s="77" t="s">
        <v>471</v>
      </c>
      <c r="C103" s="8"/>
      <c r="F103" s="177">
        <v>7000</v>
      </c>
      <c r="G103" s="246"/>
      <c r="J103" s="210">
        <v>0</v>
      </c>
      <c r="K103" s="210">
        <v>2000</v>
      </c>
      <c r="L103" s="210">
        <v>2000</v>
      </c>
      <c r="M103" s="212">
        <f t="shared" si="13"/>
        <v>4000</v>
      </c>
      <c r="N103" s="210">
        <v>350</v>
      </c>
      <c r="O103" s="210">
        <v>350</v>
      </c>
      <c r="P103" s="210">
        <v>300</v>
      </c>
      <c r="Q103" s="212">
        <f t="shared" si="8"/>
        <v>1000</v>
      </c>
      <c r="R103" s="210">
        <v>0</v>
      </c>
      <c r="S103" s="210">
        <v>500</v>
      </c>
      <c r="T103" s="210">
        <v>500</v>
      </c>
      <c r="U103" s="212">
        <f t="shared" si="9"/>
        <v>1000</v>
      </c>
      <c r="V103" s="210">
        <v>500</v>
      </c>
      <c r="W103" s="210">
        <v>500</v>
      </c>
      <c r="X103" s="210">
        <v>0</v>
      </c>
      <c r="Y103" s="212">
        <f t="shared" si="10"/>
        <v>1000</v>
      </c>
      <c r="Z103" s="210">
        <f t="shared" si="12"/>
        <v>7000</v>
      </c>
      <c r="AA103" s="148"/>
    </row>
    <row r="104" spans="1:27" s="215" customFormat="1" ht="16.5" customHeight="1">
      <c r="A104" s="213"/>
      <c r="B104" s="219"/>
      <c r="C104" s="214"/>
      <c r="F104" s="173">
        <f>SUM(F102:F103)</f>
        <v>55000</v>
      </c>
      <c r="G104" s="247"/>
      <c r="J104" s="216">
        <f>SUM(J102:J103)</f>
        <v>0</v>
      </c>
      <c r="K104" s="216">
        <f>SUM(K102:K103)</f>
        <v>9500</v>
      </c>
      <c r="L104" s="216">
        <f>SUM(L102:L103)</f>
        <v>9500</v>
      </c>
      <c r="M104" s="216">
        <f t="shared" si="13"/>
        <v>19000</v>
      </c>
      <c r="N104" s="216">
        <f>SUM(N102:N103)</f>
        <v>5350</v>
      </c>
      <c r="O104" s="216">
        <f>SUM(O102:O103)</f>
        <v>5350</v>
      </c>
      <c r="P104" s="216">
        <f>SUM(P102:P103)</f>
        <v>5300</v>
      </c>
      <c r="Q104" s="216">
        <f t="shared" si="8"/>
        <v>16000</v>
      </c>
      <c r="R104" s="216">
        <f>SUM(R102:R103)</f>
        <v>1000</v>
      </c>
      <c r="S104" s="216">
        <f>SUM(S102:S103)</f>
        <v>5000</v>
      </c>
      <c r="T104" s="216">
        <f>SUM(T102:T103)</f>
        <v>5000</v>
      </c>
      <c r="U104" s="216">
        <f t="shared" si="9"/>
        <v>11000</v>
      </c>
      <c r="V104" s="216">
        <f>SUM(V102:V103)</f>
        <v>4000</v>
      </c>
      <c r="W104" s="216">
        <f>SUM(W102:W103)</f>
        <v>4000</v>
      </c>
      <c r="X104" s="216">
        <f>SUM(X102:X103)</f>
        <v>1000</v>
      </c>
      <c r="Y104" s="216">
        <f t="shared" si="10"/>
        <v>9000</v>
      </c>
      <c r="Z104" s="216">
        <f t="shared" si="12"/>
        <v>55000</v>
      </c>
      <c r="AA104" s="217"/>
    </row>
    <row r="105" spans="1:27" ht="16.5" customHeight="1">
      <c r="A105" s="77"/>
      <c r="C105" s="8"/>
      <c r="F105" s="177"/>
      <c r="G105" s="246"/>
      <c r="J105" s="210"/>
      <c r="K105" s="210"/>
      <c r="L105" s="210"/>
      <c r="M105" s="212">
        <f t="shared" si="13"/>
        <v>0</v>
      </c>
      <c r="N105" s="210"/>
      <c r="O105" s="210"/>
      <c r="P105" s="210"/>
      <c r="Q105" s="212">
        <f t="shared" si="8"/>
        <v>0</v>
      </c>
      <c r="R105" s="210"/>
      <c r="S105" s="210"/>
      <c r="T105" s="210"/>
      <c r="U105" s="212">
        <f t="shared" si="9"/>
        <v>0</v>
      </c>
      <c r="V105" s="210"/>
      <c r="W105" s="210"/>
      <c r="X105" s="210"/>
      <c r="Y105" s="212">
        <f t="shared" si="10"/>
        <v>0</v>
      </c>
      <c r="Z105" s="210">
        <f t="shared" si="12"/>
        <v>0</v>
      </c>
      <c r="AA105" s="148"/>
    </row>
    <row r="106" spans="1:27" ht="16.5" customHeight="1">
      <c r="A106" s="77"/>
      <c r="C106" s="8"/>
      <c r="F106" s="177"/>
      <c r="G106" s="246"/>
      <c r="J106" s="210"/>
      <c r="K106" s="210"/>
      <c r="L106" s="210"/>
      <c r="M106" s="212">
        <f t="shared" si="13"/>
        <v>0</v>
      </c>
      <c r="N106" s="210"/>
      <c r="O106" s="210"/>
      <c r="P106" s="210"/>
      <c r="Q106" s="212">
        <f t="shared" si="8"/>
        <v>0</v>
      </c>
      <c r="R106" s="210"/>
      <c r="S106" s="210"/>
      <c r="T106" s="210"/>
      <c r="U106" s="212">
        <f t="shared" si="9"/>
        <v>0</v>
      </c>
      <c r="V106" s="210"/>
      <c r="W106" s="210"/>
      <c r="X106" s="210"/>
      <c r="Y106" s="212">
        <f t="shared" si="10"/>
        <v>0</v>
      </c>
      <c r="Z106" s="210">
        <f t="shared" si="12"/>
        <v>0</v>
      </c>
      <c r="AA106" s="148"/>
    </row>
    <row r="107" spans="1:27" ht="16.5" customHeight="1">
      <c r="A107" s="77"/>
      <c r="C107" s="8"/>
      <c r="F107" s="177"/>
      <c r="G107" s="246"/>
      <c r="J107" s="210"/>
      <c r="K107" s="210"/>
      <c r="L107" s="210"/>
      <c r="M107" s="212">
        <f t="shared" si="13"/>
        <v>0</v>
      </c>
      <c r="N107" s="210"/>
      <c r="O107" s="210"/>
      <c r="P107" s="210"/>
      <c r="Q107" s="212">
        <f t="shared" si="8"/>
        <v>0</v>
      </c>
      <c r="R107" s="210"/>
      <c r="S107" s="210"/>
      <c r="T107" s="210"/>
      <c r="U107" s="212">
        <f t="shared" si="9"/>
        <v>0</v>
      </c>
      <c r="V107" s="210"/>
      <c r="W107" s="210"/>
      <c r="X107" s="210"/>
      <c r="Y107" s="212">
        <f t="shared" si="10"/>
        <v>0</v>
      </c>
      <c r="Z107" s="210">
        <f t="shared" si="12"/>
        <v>0</v>
      </c>
      <c r="AA107" s="148"/>
    </row>
    <row r="108" spans="1:27" s="225" customFormat="1" ht="16.5" customHeight="1">
      <c r="A108" s="223"/>
      <c r="B108" s="223"/>
      <c r="C108" s="224"/>
      <c r="F108" s="226">
        <f>F8+F11+F13+F53+F63+F66+F68+F70+F87+F90+F96+F101+F104</f>
        <v>35840381.80999848</v>
      </c>
      <c r="G108" s="229"/>
      <c r="J108" s="229">
        <f>J8+J11+J13+J53+J63+J66+J68+J70+J87+J90+J96+J101+J104</f>
        <v>2560844</v>
      </c>
      <c r="K108" s="229">
        <f>K8+K11+K13+K53+K63+K66+K68+K70+K87+K90+K96+K101+K104</f>
        <v>3026633</v>
      </c>
      <c r="L108" s="229">
        <f>L8+L11+L13+L53+L63+L66+L68+L70+L87+L90+L96+L101+L104</f>
        <v>3535468.1799999997</v>
      </c>
      <c r="M108" s="227">
        <f t="shared" si="13"/>
        <v>9122945.18</v>
      </c>
      <c r="N108" s="229">
        <f>N8+N11+N13+N53+N63+N66+N68+N70+N87+N90+N96+N101+N104</f>
        <v>3028793.72</v>
      </c>
      <c r="O108" s="229">
        <f>O8+O11+O13+O53+O63+O66+O68+O70+O87+O90+O96+O101+O104</f>
        <v>2880650.72</v>
      </c>
      <c r="P108" s="229">
        <f>P8+P11+P13+P53+P63+P66+P68+P70+P87+P90+P96+P101+P104</f>
        <v>2955806.7399999998</v>
      </c>
      <c r="Q108" s="227">
        <f t="shared" si="8"/>
        <v>8865251.18</v>
      </c>
      <c r="R108" s="229">
        <f>R8+R11+R13+R53+R63+R66+R68+R70+R87+R90+R96+R101+R104</f>
        <v>2819890.2600000002</v>
      </c>
      <c r="S108" s="229">
        <f>S8+S11+S13+S53+S63+S66+S68+S70+S87+S90+S96+S101+S104</f>
        <v>2812168.2600000002</v>
      </c>
      <c r="T108" s="229">
        <f>T8+T11+T13+T53+T63+T66+T68+T70+T87+T90+T96+T101+T104</f>
        <v>3233490.3</v>
      </c>
      <c r="U108" s="227">
        <f t="shared" si="9"/>
        <v>8865548.82</v>
      </c>
      <c r="V108" s="229">
        <f>V8+V11+V13+V53+V63+V66+V68+V70+V87+V90+V96+V101+V104</f>
        <v>3003089.2</v>
      </c>
      <c r="W108" s="229">
        <f>W8+W11+W13+W53+W63+W66+W68+W70+W87+W90+W96+W101+W104</f>
        <v>2971529.2</v>
      </c>
      <c r="X108" s="229">
        <f>X8+X11+X13+X53+X63+X66+X68+X70+X87+X90+X96+X101+X104</f>
        <v>3012018.2299999995</v>
      </c>
      <c r="Y108" s="227">
        <f t="shared" si="10"/>
        <v>8986636.629999999</v>
      </c>
      <c r="Z108" s="227">
        <f t="shared" si="12"/>
        <v>35840381.81</v>
      </c>
      <c r="AA108" s="228"/>
    </row>
    <row r="109" spans="10:26" ht="16.5" customHeight="1">
      <c r="J109" s="210"/>
      <c r="K109" s="210"/>
      <c r="L109" s="210"/>
      <c r="M109" s="212">
        <f t="shared" si="13"/>
        <v>0</v>
      </c>
      <c r="N109" s="210"/>
      <c r="O109" s="210"/>
      <c r="P109" s="210"/>
      <c r="Q109" s="212">
        <f t="shared" si="8"/>
        <v>0</v>
      </c>
      <c r="R109" s="210"/>
      <c r="S109" s="210"/>
      <c r="T109" s="210"/>
      <c r="U109" s="212">
        <f t="shared" si="9"/>
        <v>0</v>
      </c>
      <c r="V109" s="210"/>
      <c r="W109" s="210"/>
      <c r="X109" s="210"/>
      <c r="Y109" s="212">
        <f t="shared" si="10"/>
        <v>0</v>
      </c>
      <c r="Z109" s="210">
        <f t="shared" si="12"/>
        <v>0</v>
      </c>
    </row>
    <row r="110" spans="4:26" ht="16.5" customHeight="1">
      <c r="D110" s="178" t="s">
        <v>400</v>
      </c>
      <c r="I110" s="178" t="s">
        <v>440</v>
      </c>
      <c r="J110" s="210"/>
      <c r="K110" s="210"/>
      <c r="L110" s="210"/>
      <c r="M110" s="212">
        <f t="shared" si="13"/>
        <v>0</v>
      </c>
      <c r="N110" s="210"/>
      <c r="O110" s="210"/>
      <c r="P110" s="210"/>
      <c r="Q110" s="212">
        <f t="shared" si="8"/>
        <v>0</v>
      </c>
      <c r="R110" s="210"/>
      <c r="S110" s="210"/>
      <c r="T110" s="210"/>
      <c r="U110" s="212">
        <f t="shared" si="9"/>
        <v>0</v>
      </c>
      <c r="V110" s="210"/>
      <c r="W110" s="210"/>
      <c r="X110" s="210"/>
      <c r="Y110" s="212">
        <f t="shared" si="10"/>
        <v>0</v>
      </c>
      <c r="Z110" s="210">
        <f t="shared" si="12"/>
        <v>0</v>
      </c>
    </row>
    <row r="111" spans="4:26" ht="16.5" customHeight="1">
      <c r="D111" s="9" t="s">
        <v>392</v>
      </c>
      <c r="F111" s="172">
        <v>1683358.35</v>
      </c>
      <c r="G111" s="253"/>
      <c r="I111" s="165">
        <v>1650000</v>
      </c>
      <c r="J111" s="210"/>
      <c r="K111" s="210"/>
      <c r="L111" s="210"/>
      <c r="M111" s="212">
        <f t="shared" si="13"/>
        <v>0</v>
      </c>
      <c r="N111" s="210"/>
      <c r="O111" s="210"/>
      <c r="P111" s="210"/>
      <c r="Q111" s="212">
        <f t="shared" si="8"/>
        <v>0</v>
      </c>
      <c r="R111" s="210"/>
      <c r="S111" s="210"/>
      <c r="T111" s="210"/>
      <c r="U111" s="212">
        <f t="shared" si="9"/>
        <v>0</v>
      </c>
      <c r="V111" s="210"/>
      <c r="W111" s="210"/>
      <c r="X111" s="210"/>
      <c r="Y111" s="212">
        <f t="shared" si="10"/>
        <v>0</v>
      </c>
      <c r="Z111" s="210">
        <f t="shared" si="12"/>
        <v>0</v>
      </c>
    </row>
    <row r="112" spans="1:26" ht="16.5" customHeight="1">
      <c r="A112" s="9"/>
      <c r="D112" s="9" t="s">
        <v>393</v>
      </c>
      <c r="F112" s="172">
        <v>369122.33</v>
      </c>
      <c r="G112" s="253"/>
      <c r="I112" s="165">
        <v>360000</v>
      </c>
      <c r="J112" s="210"/>
      <c r="K112" s="210"/>
      <c r="L112" s="210"/>
      <c r="M112" s="212">
        <f t="shared" si="13"/>
        <v>0</v>
      </c>
      <c r="N112" s="210"/>
      <c r="O112" s="210"/>
      <c r="P112" s="210"/>
      <c r="Q112" s="212">
        <f t="shared" si="8"/>
        <v>0</v>
      </c>
      <c r="R112" s="210"/>
      <c r="S112" s="210"/>
      <c r="T112" s="210"/>
      <c r="U112" s="212">
        <f t="shared" si="9"/>
        <v>0</v>
      </c>
      <c r="V112" s="210"/>
      <c r="W112" s="210"/>
      <c r="X112" s="210"/>
      <c r="Y112" s="212">
        <f t="shared" si="10"/>
        <v>0</v>
      </c>
      <c r="Z112" s="210">
        <f t="shared" si="12"/>
        <v>0</v>
      </c>
    </row>
    <row r="113" spans="6:26" ht="16.5" customHeight="1">
      <c r="F113" s="172"/>
      <c r="G113" s="253"/>
      <c r="I113" s="165"/>
      <c r="J113" s="210"/>
      <c r="K113" s="210"/>
      <c r="L113" s="210"/>
      <c r="M113" s="212">
        <f t="shared" si="13"/>
        <v>0</v>
      </c>
      <c r="N113" s="210"/>
      <c r="O113" s="210"/>
      <c r="P113" s="210"/>
      <c r="Q113" s="212">
        <f t="shared" si="8"/>
        <v>0</v>
      </c>
      <c r="R113" s="210"/>
      <c r="S113" s="210"/>
      <c r="T113" s="210"/>
      <c r="U113" s="212">
        <f t="shared" si="9"/>
        <v>0</v>
      </c>
      <c r="V113" s="210"/>
      <c r="W113" s="210"/>
      <c r="X113" s="210"/>
      <c r="Y113" s="212">
        <f t="shared" si="10"/>
        <v>0</v>
      </c>
      <c r="Z113" s="210">
        <f t="shared" si="12"/>
        <v>0</v>
      </c>
    </row>
    <row r="114" spans="4:26" ht="16.5" customHeight="1">
      <c r="D114" s="9" t="s">
        <v>394</v>
      </c>
      <c r="F114" s="172">
        <v>321518.84</v>
      </c>
      <c r="G114" s="253"/>
      <c r="I114" s="165">
        <v>260000</v>
      </c>
      <c r="J114" s="210"/>
      <c r="K114" s="210"/>
      <c r="L114" s="210"/>
      <c r="M114" s="212">
        <f t="shared" si="13"/>
        <v>0</v>
      </c>
      <c r="N114" s="210"/>
      <c r="O114" s="210"/>
      <c r="P114" s="210"/>
      <c r="Q114" s="212">
        <f t="shared" si="8"/>
        <v>0</v>
      </c>
      <c r="R114" s="210"/>
      <c r="S114" s="210"/>
      <c r="T114" s="210"/>
      <c r="U114" s="212">
        <f t="shared" si="9"/>
        <v>0</v>
      </c>
      <c r="V114" s="210"/>
      <c r="W114" s="210"/>
      <c r="X114" s="210"/>
      <c r="Y114" s="212">
        <f t="shared" si="10"/>
        <v>0</v>
      </c>
      <c r="Z114" s="210">
        <f t="shared" si="12"/>
        <v>0</v>
      </c>
    </row>
    <row r="115" spans="4:26" ht="16.5" customHeight="1">
      <c r="D115" s="9" t="s">
        <v>393</v>
      </c>
      <c r="F115" s="172">
        <v>69288.67</v>
      </c>
      <c r="G115" s="253"/>
      <c r="I115" s="165">
        <v>57000</v>
      </c>
      <c r="J115" s="210"/>
      <c r="K115" s="210"/>
      <c r="L115" s="210"/>
      <c r="M115" s="212">
        <f t="shared" si="13"/>
        <v>0</v>
      </c>
      <c r="N115" s="210"/>
      <c r="O115" s="210"/>
      <c r="P115" s="210"/>
      <c r="Q115" s="212">
        <f t="shared" si="8"/>
        <v>0</v>
      </c>
      <c r="R115" s="210"/>
      <c r="S115" s="210"/>
      <c r="T115" s="210"/>
      <c r="U115" s="212">
        <f t="shared" si="9"/>
        <v>0</v>
      </c>
      <c r="V115" s="210"/>
      <c r="W115" s="210"/>
      <c r="X115" s="210"/>
      <c r="Y115" s="212">
        <f t="shared" si="10"/>
        <v>0</v>
      </c>
      <c r="Z115" s="210">
        <f t="shared" si="12"/>
        <v>0</v>
      </c>
    </row>
    <row r="116" spans="10:26" ht="16.5" customHeight="1">
      <c r="J116" s="210"/>
      <c r="K116" s="210"/>
      <c r="L116" s="210"/>
      <c r="M116" s="212">
        <f t="shared" si="13"/>
        <v>0</v>
      </c>
      <c r="N116" s="210"/>
      <c r="O116" s="210"/>
      <c r="P116" s="210"/>
      <c r="Q116" s="212">
        <f t="shared" si="8"/>
        <v>0</v>
      </c>
      <c r="R116" s="210"/>
      <c r="S116" s="210"/>
      <c r="T116" s="210"/>
      <c r="U116" s="212">
        <f t="shared" si="9"/>
        <v>0</v>
      </c>
      <c r="V116" s="210"/>
      <c r="W116" s="210"/>
      <c r="X116" s="210"/>
      <c r="Y116" s="212">
        <f t="shared" si="10"/>
        <v>0</v>
      </c>
      <c r="Z116" s="210">
        <f t="shared" si="12"/>
        <v>0</v>
      </c>
    </row>
    <row r="117" spans="6:26" ht="16.5" customHeight="1">
      <c r="F117" s="205">
        <f>SUM(F111:F116)</f>
        <v>2443288.19</v>
      </c>
      <c r="G117" s="254"/>
      <c r="H117" s="205"/>
      <c r="I117" s="205">
        <f>SUM(I111:I116)</f>
        <v>2327000</v>
      </c>
      <c r="J117" s="210"/>
      <c r="K117" s="210"/>
      <c r="L117" s="210"/>
      <c r="M117" s="212">
        <f t="shared" si="13"/>
        <v>0</v>
      </c>
      <c r="N117" s="210"/>
      <c r="O117" s="210"/>
      <c r="P117" s="210"/>
      <c r="Q117" s="212">
        <f t="shared" si="8"/>
        <v>0</v>
      </c>
      <c r="R117" s="210"/>
      <c r="S117" s="210"/>
      <c r="T117" s="210"/>
      <c r="U117" s="212">
        <f t="shared" si="9"/>
        <v>0</v>
      </c>
      <c r="V117" s="210"/>
      <c r="W117" s="210"/>
      <c r="X117" s="210"/>
      <c r="Y117" s="212">
        <f t="shared" si="10"/>
        <v>0</v>
      </c>
      <c r="Z117" s="210">
        <f t="shared" si="12"/>
        <v>0</v>
      </c>
    </row>
    <row r="118" spans="4:26" ht="16.5" customHeight="1">
      <c r="D118" s="9" t="s">
        <v>441</v>
      </c>
      <c r="F118" s="176">
        <v>29036498</v>
      </c>
      <c r="G118" s="255"/>
      <c r="J118" s="210"/>
      <c r="K118" s="210"/>
      <c r="L118" s="210"/>
      <c r="M118" s="212">
        <f t="shared" si="13"/>
        <v>0</v>
      </c>
      <c r="N118" s="210"/>
      <c r="O118" s="210"/>
      <c r="P118" s="210"/>
      <c r="Q118" s="212">
        <f t="shared" si="8"/>
        <v>0</v>
      </c>
      <c r="R118" s="210"/>
      <c r="S118" s="210"/>
      <c r="T118" s="210"/>
      <c r="U118" s="212">
        <f t="shared" si="9"/>
        <v>0</v>
      </c>
      <c r="V118" s="210"/>
      <c r="W118" s="210"/>
      <c r="X118" s="210"/>
      <c r="Y118" s="212">
        <f t="shared" si="10"/>
        <v>0</v>
      </c>
      <c r="Z118" s="210">
        <f t="shared" si="12"/>
        <v>0</v>
      </c>
    </row>
    <row r="119" spans="4:26" ht="16.5" customHeight="1">
      <c r="D119" s="9" t="s">
        <v>442</v>
      </c>
      <c r="F119" s="176">
        <v>2802317.06</v>
      </c>
      <c r="G119" s="255"/>
      <c r="I119" s="206"/>
      <c r="J119" s="210"/>
      <c r="K119" s="210"/>
      <c r="L119" s="210"/>
      <c r="M119" s="212">
        <f t="shared" si="13"/>
        <v>0</v>
      </c>
      <c r="N119" s="210"/>
      <c r="O119" s="210"/>
      <c r="P119" s="210"/>
      <c r="Q119" s="212">
        <f t="shared" si="8"/>
        <v>0</v>
      </c>
      <c r="R119" s="210"/>
      <c r="S119" s="210"/>
      <c r="T119" s="210"/>
      <c r="U119" s="212">
        <f t="shared" si="9"/>
        <v>0</v>
      </c>
      <c r="V119" s="210"/>
      <c r="W119" s="210"/>
      <c r="X119" s="210"/>
      <c r="Y119" s="212">
        <f t="shared" si="10"/>
        <v>0</v>
      </c>
      <c r="Z119" s="210">
        <f t="shared" si="12"/>
        <v>0</v>
      </c>
    </row>
    <row r="120" spans="4:26" ht="16.5" customHeight="1">
      <c r="D120" s="208" t="s">
        <v>443</v>
      </c>
      <c r="F120" s="176">
        <f>F119*12</f>
        <v>33627804.72</v>
      </c>
      <c r="G120" s="255"/>
      <c r="I120" s="207">
        <f>F120+22195.28</f>
        <v>33650000</v>
      </c>
      <c r="J120" s="210"/>
      <c r="K120" s="210"/>
      <c r="L120" s="210"/>
      <c r="M120" s="212">
        <f t="shared" si="13"/>
        <v>0</v>
      </c>
      <c r="N120" s="210"/>
      <c r="O120" s="210"/>
      <c r="P120" s="210"/>
      <c r="Q120" s="212">
        <f t="shared" si="8"/>
        <v>0</v>
      </c>
      <c r="R120" s="210"/>
      <c r="S120" s="210"/>
      <c r="T120" s="210"/>
      <c r="U120" s="212">
        <f t="shared" si="9"/>
        <v>0</v>
      </c>
      <c r="V120" s="210"/>
      <c r="W120" s="210"/>
      <c r="X120" s="210"/>
      <c r="Y120" s="212">
        <f t="shared" si="10"/>
        <v>0</v>
      </c>
      <c r="Z120" s="210">
        <f t="shared" si="12"/>
        <v>0</v>
      </c>
    </row>
    <row r="121" spans="10:26" ht="16.5" customHeight="1">
      <c r="J121" s="210"/>
      <c r="K121" s="210"/>
      <c r="L121" s="210"/>
      <c r="M121" s="212">
        <f t="shared" si="13"/>
        <v>0</v>
      </c>
      <c r="N121" s="210"/>
      <c r="O121" s="210"/>
      <c r="P121" s="210"/>
      <c r="Q121" s="212">
        <f t="shared" si="8"/>
        <v>0</v>
      </c>
      <c r="R121" s="210"/>
      <c r="S121" s="210"/>
      <c r="T121" s="210"/>
      <c r="U121" s="212">
        <f t="shared" si="9"/>
        <v>0</v>
      </c>
      <c r="V121" s="210"/>
      <c r="W121" s="210"/>
      <c r="X121" s="210"/>
      <c r="Y121" s="212">
        <f t="shared" si="10"/>
        <v>0</v>
      </c>
      <c r="Z121" s="210">
        <f t="shared" si="12"/>
        <v>0</v>
      </c>
    </row>
    <row r="122" spans="4:26" ht="16.5" customHeight="1">
      <c r="D122" s="9" t="s">
        <v>474</v>
      </c>
      <c r="I122" s="205">
        <f>15223.17+5664.64</f>
        <v>20887.81</v>
      </c>
      <c r="J122" s="210"/>
      <c r="K122" s="210"/>
      <c r="L122" s="210"/>
      <c r="M122" s="212">
        <f t="shared" si="13"/>
        <v>0</v>
      </c>
      <c r="N122" s="210"/>
      <c r="O122" s="210"/>
      <c r="P122" s="210"/>
      <c r="Q122" s="212">
        <f t="shared" si="8"/>
        <v>0</v>
      </c>
      <c r="R122" s="210"/>
      <c r="S122" s="210"/>
      <c r="T122" s="210"/>
      <c r="U122" s="212">
        <f t="shared" si="9"/>
        <v>0</v>
      </c>
      <c r="V122" s="210"/>
      <c r="W122" s="210"/>
      <c r="X122" s="210"/>
      <c r="Y122" s="212">
        <f t="shared" si="10"/>
        <v>0</v>
      </c>
      <c r="Z122" s="210">
        <f t="shared" si="12"/>
        <v>0</v>
      </c>
    </row>
    <row r="124" spans="4:9" ht="16.5" customHeight="1">
      <c r="D124" s="9" t="s">
        <v>475</v>
      </c>
      <c r="I124" s="231">
        <f>SUM(I120:I123)</f>
        <v>33670887.81</v>
      </c>
    </row>
    <row r="128" ht="16.5" customHeight="1" thickBot="1"/>
    <row r="129" spans="1:2" ht="16.5" customHeight="1" thickBot="1">
      <c r="A129" s="9" t="s">
        <v>21</v>
      </c>
      <c r="B129" s="234"/>
    </row>
    <row r="137" ht="16.5" customHeight="1">
      <c r="A137" s="144" t="s">
        <v>480</v>
      </c>
    </row>
    <row r="138" ht="16.5" customHeight="1">
      <c r="A138" s="144" t="s">
        <v>481</v>
      </c>
    </row>
    <row r="139" ht="16.5" customHeight="1">
      <c r="A139" s="144" t="s">
        <v>482</v>
      </c>
    </row>
    <row r="141" ht="16.5" customHeight="1">
      <c r="A141" s="144" t="s">
        <v>483</v>
      </c>
    </row>
    <row r="144" spans="1:3" ht="16.5" customHeight="1">
      <c r="A144" s="9" t="s">
        <v>484</v>
      </c>
      <c r="C144" s="9" t="s">
        <v>378</v>
      </c>
    </row>
  </sheetData>
  <sheetProtection/>
  <mergeCells count="3">
    <mergeCell ref="D86:E86"/>
    <mergeCell ref="B2:B7"/>
    <mergeCell ref="B9:B10"/>
  </mergeCells>
  <dataValidations count="3">
    <dataValidation type="textLength" allowBlank="1" showInputMessage="1" showErrorMessage="1" promptTitle="обов'язкове" prompt="обов'язкове" sqref="A1:B1 C12:C16 A77 A83:A84 B60 A96:A111 A88:A90 A113:A122 A145:A65536 A45 C86:C87 A123:B128 A37 A39:A43 B130:B65536 A130:A143 A92:A94 B91:B94 B96:B122">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C72 C74:C75 C67:C68">
      <formula1>0</formula1>
      <formula2>1E+32</formula2>
    </dataValidation>
    <dataValidation allowBlank="1" showInputMessage="1" showErrorMessage="1" promptTitle="обов'язкове" prompt="обов'язкове" sqref="C1 C60 C145:C65536 C88:C94 C96:C143"/>
  </dataValidations>
  <hyperlinks>
    <hyperlink ref="A60" r:id="rId1" display="https://e-tender.biz/tender/produkti-harchuvannya/UA-2020-01-15-001695-c-speczialni-produkty-xarchuvannya-zbahacheni-pozhyvnymy-rechovynamy-za-kodom-cpv-za"/>
  </hyperlinks>
  <printOptions/>
  <pageMargins left="0.1968503937007874" right="0.1968503937007874" top="0.1968503937007874" bottom="0.1968503937007874" header="0.1968503937007874" footer="0.1968503937007874"/>
  <pageSetup fitToHeight="0" fitToWidth="1" horizontalDpi="600" verticalDpi="600" orientation="portrait" paperSize="9" scale="16" r:id="rId2"/>
</worksheet>
</file>

<file path=xl/worksheets/sheet5.xml><?xml version="1.0" encoding="utf-8"?>
<worksheet xmlns="http://schemas.openxmlformats.org/spreadsheetml/2006/main" xmlns:r="http://schemas.openxmlformats.org/officeDocument/2006/relationships">
  <sheetPr>
    <pageSetUpPr fitToPage="1"/>
  </sheetPr>
  <dimension ref="A1:AN331"/>
  <sheetViews>
    <sheetView zoomScale="90" zoomScaleNormal="90" zoomScalePageLayoutView="0" workbookViewId="0" topLeftCell="B27">
      <selection activeCell="M40" sqref="M40"/>
    </sheetView>
  </sheetViews>
  <sheetFormatPr defaultColWidth="9.140625" defaultRowHeight="15"/>
  <cols>
    <col min="1" max="1" width="4.8515625" style="12" hidden="1" customWidth="1"/>
    <col min="2" max="2" width="73.140625" style="12" customWidth="1"/>
    <col min="3" max="3" width="7.140625" style="13" customWidth="1"/>
    <col min="4" max="4" width="8.140625" style="13" customWidth="1"/>
    <col min="5" max="5" width="7.7109375" style="13" customWidth="1"/>
    <col min="6" max="6" width="14.140625" style="95" customWidth="1"/>
    <col min="7" max="7" width="13.57421875" style="95" customWidth="1"/>
    <col min="8" max="8" width="12.8515625" style="95" customWidth="1"/>
    <col min="9" max="9" width="14.8515625" style="95" customWidth="1"/>
    <col min="10" max="10" width="15.28125" style="95" customWidth="1"/>
    <col min="11" max="11" width="11.28125" style="12" hidden="1" customWidth="1"/>
    <col min="12" max="12" width="38.7109375" style="22" bestFit="1" customWidth="1"/>
    <col min="13" max="13" width="53.57421875" style="12" bestFit="1" customWidth="1"/>
    <col min="14" max="16" width="20.421875" style="12" bestFit="1" customWidth="1"/>
    <col min="17" max="18" width="10.00390625" style="12" bestFit="1" customWidth="1"/>
    <col min="19" max="22" width="19.8515625" style="12" bestFit="1" customWidth="1"/>
    <col min="23" max="23" width="11.00390625" style="12" customWidth="1"/>
    <col min="24" max="24" width="5.421875" style="12" customWidth="1"/>
    <col min="25" max="25" width="19.8515625" style="12" bestFit="1" customWidth="1"/>
    <col min="26" max="26" width="9.57421875" style="12" customWidth="1"/>
    <col min="27" max="27" width="22.7109375" style="12" customWidth="1"/>
    <col min="28" max="28" width="11.8515625" style="12" customWidth="1"/>
    <col min="29" max="29" width="14.421875" style="12" customWidth="1"/>
    <col min="30" max="30" width="13.7109375" style="12" customWidth="1"/>
    <col min="31" max="31" width="16.28125" style="12" customWidth="1"/>
    <col min="32" max="32" width="16.140625" style="12" customWidth="1"/>
    <col min="33" max="33" width="19.7109375" style="12" customWidth="1"/>
    <col min="34" max="34" width="17.140625" style="12" customWidth="1"/>
    <col min="35" max="35" width="26.140625" style="12" customWidth="1"/>
    <col min="36" max="36" width="13.00390625" style="12" customWidth="1"/>
    <col min="37" max="37" width="17.57421875" style="12" customWidth="1"/>
    <col min="38" max="38" width="9.140625" style="12" customWidth="1"/>
    <col min="39" max="39" width="5.421875" style="12" customWidth="1"/>
    <col min="40" max="40" width="7.421875" style="12" customWidth="1"/>
    <col min="41" max="16384" width="9.140625" style="12" customWidth="1"/>
  </cols>
  <sheetData>
    <row r="1" spans="6:35" ht="18.75">
      <c r="F1" s="437" t="s">
        <v>60</v>
      </c>
      <c r="G1" s="438"/>
      <c r="H1" s="438"/>
      <c r="AG1" s="12" t="s">
        <v>384</v>
      </c>
      <c r="AI1" s="95" t="s">
        <v>383</v>
      </c>
    </row>
    <row r="2" spans="2:40" ht="18.75">
      <c r="B2" s="13"/>
      <c r="E2" s="12"/>
      <c r="F2" s="95" t="s">
        <v>61</v>
      </c>
      <c r="AG2" s="12" t="s">
        <v>387</v>
      </c>
      <c r="AI2" s="164">
        <v>2000000</v>
      </c>
      <c r="AJ2"/>
      <c r="AK2" s="162"/>
      <c r="AL2"/>
      <c r="AM2"/>
      <c r="AN2" s="162"/>
    </row>
    <row r="3" spans="2:9" ht="18.75">
      <c r="B3" s="13"/>
      <c r="E3" s="12"/>
      <c r="F3" s="437" t="s">
        <v>931</v>
      </c>
      <c r="G3" s="438"/>
      <c r="H3" s="438"/>
      <c r="I3" s="438"/>
    </row>
    <row r="4" spans="2:40" ht="18.75">
      <c r="B4" s="13"/>
      <c r="E4" s="12"/>
      <c r="AG4" s="12" t="s">
        <v>385</v>
      </c>
      <c r="AI4" s="95" t="s">
        <v>386</v>
      </c>
      <c r="AN4" s="163"/>
    </row>
    <row r="5" spans="2:35" ht="18.75">
      <c r="B5" s="13"/>
      <c r="E5" s="12"/>
      <c r="F5" s="95" t="s">
        <v>62</v>
      </c>
      <c r="I5" s="95" t="s">
        <v>63</v>
      </c>
      <c r="AG5" s="12" t="s">
        <v>387</v>
      </c>
      <c r="AI5" s="164">
        <v>29036498</v>
      </c>
    </row>
    <row r="7" spans="8:9" ht="18.75">
      <c r="H7" s="96" t="s">
        <v>64</v>
      </c>
      <c r="I7" s="232"/>
    </row>
    <row r="8" spans="8:9" ht="18.75">
      <c r="H8" s="96" t="s">
        <v>66</v>
      </c>
      <c r="I8" s="232"/>
    </row>
    <row r="9" spans="8:9" ht="18.75">
      <c r="H9" s="96" t="s">
        <v>67</v>
      </c>
      <c r="I9" s="232"/>
    </row>
    <row r="10" spans="8:9" ht="18.75">
      <c r="H10" s="96" t="s">
        <v>68</v>
      </c>
      <c r="I10" s="232" t="s">
        <v>65</v>
      </c>
    </row>
    <row r="11" spans="8:9" ht="18.75">
      <c r="H11" s="409" t="s">
        <v>69</v>
      </c>
      <c r="I11" s="410"/>
    </row>
    <row r="13" spans="3:10" ht="18.75">
      <c r="C13" s="411"/>
      <c r="D13" s="411"/>
      <c r="E13" s="411"/>
      <c r="F13" s="411"/>
      <c r="I13" s="412" t="s">
        <v>70</v>
      </c>
      <c r="J13" s="412"/>
    </row>
    <row r="14" spans="2:10" ht="26.25" customHeight="1">
      <c r="B14" s="16" t="s">
        <v>71</v>
      </c>
      <c r="C14" s="413" t="s">
        <v>72</v>
      </c>
      <c r="D14" s="413"/>
      <c r="E14" s="413"/>
      <c r="F14" s="413"/>
      <c r="G14" s="413"/>
      <c r="H14" s="97"/>
      <c r="I14" s="96" t="s">
        <v>73</v>
      </c>
      <c r="J14" s="232">
        <v>39007143</v>
      </c>
    </row>
    <row r="15" spans="2:10" ht="18.75">
      <c r="B15" s="16" t="s">
        <v>74</v>
      </c>
      <c r="C15" s="414" t="s">
        <v>75</v>
      </c>
      <c r="D15" s="414"/>
      <c r="E15" s="414"/>
      <c r="F15" s="414"/>
      <c r="G15" s="98"/>
      <c r="H15" s="99"/>
      <c r="I15" s="96" t="s">
        <v>76</v>
      </c>
      <c r="J15" s="232">
        <v>150</v>
      </c>
    </row>
    <row r="16" spans="2:10" ht="18.75">
      <c r="B16" s="16" t="s">
        <v>77</v>
      </c>
      <c r="C16" s="414" t="s">
        <v>78</v>
      </c>
      <c r="D16" s="414"/>
      <c r="E16" s="414"/>
      <c r="F16" s="414"/>
      <c r="G16" s="98"/>
      <c r="H16" s="99"/>
      <c r="I16" s="96" t="s">
        <v>79</v>
      </c>
      <c r="J16" s="232">
        <v>2610600000</v>
      </c>
    </row>
    <row r="17" spans="2:10" ht="18.75">
      <c r="B17" s="16" t="s">
        <v>80</v>
      </c>
      <c r="C17" s="414"/>
      <c r="D17" s="414"/>
      <c r="E17" s="414"/>
      <c r="F17" s="414"/>
      <c r="G17" s="100"/>
      <c r="H17" s="97"/>
      <c r="I17" s="96" t="s">
        <v>81</v>
      </c>
      <c r="J17" s="232"/>
    </row>
    <row r="18" spans="2:10" ht="18.75">
      <c r="B18" s="16" t="s">
        <v>82</v>
      </c>
      <c r="C18" s="414"/>
      <c r="D18" s="414"/>
      <c r="E18" s="414"/>
      <c r="F18" s="414"/>
      <c r="G18" s="100"/>
      <c r="H18" s="97"/>
      <c r="I18" s="96" t="s">
        <v>83</v>
      </c>
      <c r="J18" s="232"/>
    </row>
    <row r="19" spans="2:10" ht="18.75">
      <c r="B19" s="16" t="s">
        <v>84</v>
      </c>
      <c r="C19" s="414"/>
      <c r="D19" s="414"/>
      <c r="E19" s="414"/>
      <c r="F19" s="414"/>
      <c r="G19" s="100"/>
      <c r="H19" s="101"/>
      <c r="I19" s="102" t="s">
        <v>85</v>
      </c>
      <c r="J19" s="232" t="s">
        <v>86</v>
      </c>
    </row>
    <row r="20" spans="2:10" ht="18.75">
      <c r="B20" s="16" t="s">
        <v>87</v>
      </c>
      <c r="C20" s="414"/>
      <c r="D20" s="414"/>
      <c r="E20" s="414"/>
      <c r="F20" s="414"/>
      <c r="G20" s="415" t="s">
        <v>88</v>
      </c>
      <c r="H20" s="416"/>
      <c r="I20" s="417"/>
      <c r="J20" s="233" t="s">
        <v>65</v>
      </c>
    </row>
    <row r="21" spans="2:10" ht="18.75">
      <c r="B21" s="16" t="s">
        <v>89</v>
      </c>
      <c r="C21" s="414" t="s">
        <v>90</v>
      </c>
      <c r="D21" s="414"/>
      <c r="E21" s="414"/>
      <c r="F21" s="414"/>
      <c r="G21" s="415" t="s">
        <v>91</v>
      </c>
      <c r="H21" s="416"/>
      <c r="I21" s="417"/>
      <c r="J21" s="103"/>
    </row>
    <row r="22" spans="2:10" ht="18.75">
      <c r="B22" s="16" t="s">
        <v>92</v>
      </c>
      <c r="C22" s="421">
        <v>220</v>
      </c>
      <c r="D22" s="421"/>
      <c r="E22" s="421"/>
      <c r="F22" s="421"/>
      <c r="G22" s="100"/>
      <c r="H22" s="100"/>
      <c r="I22" s="100"/>
      <c r="J22" s="97"/>
    </row>
    <row r="23" spans="2:10" ht="18.75">
      <c r="B23" s="16" t="s">
        <v>93</v>
      </c>
      <c r="C23" s="414" t="s">
        <v>94</v>
      </c>
      <c r="D23" s="414"/>
      <c r="E23" s="414"/>
      <c r="F23" s="414"/>
      <c r="G23" s="414"/>
      <c r="H23" s="414"/>
      <c r="I23" s="414"/>
      <c r="J23" s="422"/>
    </row>
    <row r="24" spans="2:10" ht="18.75">
      <c r="B24" s="16" t="s">
        <v>95</v>
      </c>
      <c r="C24" s="423" t="s">
        <v>96</v>
      </c>
      <c r="D24" s="423"/>
      <c r="E24" s="423"/>
      <c r="F24" s="423"/>
      <c r="G24" s="100"/>
      <c r="H24" s="100"/>
      <c r="I24" s="100"/>
      <c r="J24" s="97"/>
    </row>
    <row r="25" spans="2:10" ht="18.75">
      <c r="B25" s="16" t="s">
        <v>97</v>
      </c>
      <c r="C25" s="421" t="s">
        <v>930</v>
      </c>
      <c r="D25" s="421"/>
      <c r="E25" s="421"/>
      <c r="F25" s="421"/>
      <c r="G25" s="98"/>
      <c r="H25" s="98"/>
      <c r="I25" s="98"/>
      <c r="J25" s="99"/>
    </row>
    <row r="27" spans="2:10" ht="18" customHeight="1">
      <c r="B27" s="424" t="s">
        <v>355</v>
      </c>
      <c r="C27" s="424"/>
      <c r="D27" s="424"/>
      <c r="E27" s="424"/>
      <c r="F27" s="424"/>
      <c r="G27" s="424"/>
      <c r="H27" s="424"/>
      <c r="I27" s="424"/>
      <c r="J27" s="424"/>
    </row>
    <row r="28" spans="2:17" ht="18.75" hidden="1">
      <c r="B28" s="425"/>
      <c r="C28" s="425"/>
      <c r="D28" s="425"/>
      <c r="E28" s="425"/>
      <c r="F28" s="425"/>
      <c r="G28" s="425"/>
      <c r="H28" s="425"/>
      <c r="I28" s="425"/>
      <c r="J28" s="425"/>
      <c r="K28" s="19"/>
      <c r="L28" s="19"/>
      <c r="M28" s="19"/>
      <c r="N28" s="19"/>
      <c r="O28" s="19"/>
      <c r="P28" s="19"/>
      <c r="Q28" s="19"/>
    </row>
    <row r="29" spans="2:10" ht="18.75">
      <c r="B29" s="18"/>
      <c r="C29" s="20"/>
      <c r="D29" s="18"/>
      <c r="E29" s="18"/>
      <c r="F29" s="104"/>
      <c r="G29" s="104"/>
      <c r="H29" s="104"/>
      <c r="I29" s="104"/>
      <c r="J29" s="104" t="s">
        <v>99</v>
      </c>
    </row>
    <row r="30" spans="2:17" ht="18.75" customHeight="1">
      <c r="B30" s="431" t="s">
        <v>100</v>
      </c>
      <c r="C30" s="432" t="s">
        <v>101</v>
      </c>
      <c r="D30" s="418" t="s">
        <v>102</v>
      </c>
      <c r="E30" s="418" t="s">
        <v>103</v>
      </c>
      <c r="F30" s="419" t="s">
        <v>104</v>
      </c>
      <c r="G30" s="420" t="s">
        <v>105</v>
      </c>
      <c r="H30" s="420"/>
      <c r="I30" s="420"/>
      <c r="J30" s="420"/>
      <c r="K30" s="20"/>
      <c r="L30" s="18"/>
      <c r="M30" s="20"/>
      <c r="N30" s="20"/>
      <c r="O30" s="20"/>
      <c r="P30" s="20"/>
      <c r="Q30" s="20"/>
    </row>
    <row r="31" spans="2:17" ht="25.5" customHeight="1">
      <c r="B31" s="431"/>
      <c r="C31" s="432"/>
      <c r="D31" s="418"/>
      <c r="E31" s="418"/>
      <c r="F31" s="419"/>
      <c r="G31" s="105" t="s">
        <v>106</v>
      </c>
      <c r="H31" s="105" t="s">
        <v>107</v>
      </c>
      <c r="I31" s="105" t="s">
        <v>108</v>
      </c>
      <c r="J31" s="105" t="s">
        <v>109</v>
      </c>
      <c r="K31" s="20"/>
      <c r="L31" s="18"/>
      <c r="M31" s="20"/>
      <c r="N31" s="20"/>
      <c r="O31" s="20"/>
      <c r="P31" s="20"/>
      <c r="Q31" s="20"/>
    </row>
    <row r="32" spans="2:17" ht="18.75">
      <c r="B32" s="14">
        <v>1</v>
      </c>
      <c r="C32" s="17">
        <v>2</v>
      </c>
      <c r="D32" s="17">
        <v>3</v>
      </c>
      <c r="E32" s="17">
        <v>4</v>
      </c>
      <c r="F32" s="233">
        <v>5</v>
      </c>
      <c r="G32" s="233">
        <v>6</v>
      </c>
      <c r="H32" s="233">
        <v>7</v>
      </c>
      <c r="I32" s="233">
        <v>8</v>
      </c>
      <c r="J32" s="233">
        <v>9</v>
      </c>
      <c r="K32" s="20"/>
      <c r="L32" s="18"/>
      <c r="M32" s="20"/>
      <c r="N32" s="20"/>
      <c r="O32" s="20"/>
      <c r="P32" s="20"/>
      <c r="Q32" s="20"/>
    </row>
    <row r="33" spans="2:17" ht="18.75">
      <c r="B33" s="426" t="s">
        <v>110</v>
      </c>
      <c r="C33" s="426"/>
      <c r="D33" s="426"/>
      <c r="E33" s="426"/>
      <c r="F33" s="426"/>
      <c r="G33" s="426"/>
      <c r="H33" s="426"/>
      <c r="I33" s="426"/>
      <c r="J33" s="427"/>
      <c r="K33" s="20"/>
      <c r="L33" s="18"/>
      <c r="M33" s="20"/>
      <c r="N33" s="20"/>
      <c r="O33" s="20"/>
      <c r="P33" s="20"/>
      <c r="Q33" s="20"/>
    </row>
    <row r="34" spans="2:17" s="22" customFormat="1" ht="18.75">
      <c r="B34" s="428" t="s">
        <v>111</v>
      </c>
      <c r="C34" s="428"/>
      <c r="D34" s="428"/>
      <c r="E34" s="428"/>
      <c r="F34" s="428"/>
      <c r="G34" s="428"/>
      <c r="H34" s="428"/>
      <c r="I34" s="428"/>
      <c r="J34" s="428"/>
      <c r="K34" s="63"/>
      <c r="L34" s="63"/>
      <c r="M34" s="63"/>
      <c r="N34" s="63"/>
      <c r="O34" s="63"/>
      <c r="P34" s="63"/>
      <c r="Q34" s="63"/>
    </row>
    <row r="35" spans="1:18" s="22" customFormat="1" ht="36.75" customHeight="1">
      <c r="A35" s="22">
        <v>1</v>
      </c>
      <c r="B35" s="23" t="s">
        <v>112</v>
      </c>
      <c r="C35" s="24">
        <v>100</v>
      </c>
      <c r="D35" s="25"/>
      <c r="E35" s="25"/>
      <c r="F35" s="106">
        <f aca="true" t="shared" si="0" ref="F35:F44">SUM(G35:J35)</f>
        <v>33999.9596</v>
      </c>
      <c r="G35" s="107">
        <f>-(G41+G60+G84+G86+G94)-G37</f>
        <v>8427.83899</v>
      </c>
      <c r="H35" s="107">
        <f>-(H41+H60+H84+H86+H94)-H37</f>
        <v>8590.77618</v>
      </c>
      <c r="I35" s="107">
        <f>-(I41+I60+I84+I86+I94)-I37</f>
        <v>8641.545610000001</v>
      </c>
      <c r="J35" s="107">
        <f>-(J41+J60+J75+J84+J86+J94)-J37</f>
        <v>8339.79882</v>
      </c>
      <c r="K35" s="44"/>
      <c r="L35" s="79"/>
      <c r="M35" s="44"/>
      <c r="N35" s="44"/>
      <c r="O35" s="44"/>
      <c r="P35" s="44"/>
      <c r="Q35" s="44"/>
      <c r="R35" s="65">
        <v>1196</v>
      </c>
    </row>
    <row r="36" spans="1:17" s="22" customFormat="1" ht="60" customHeight="1">
      <c r="A36" s="22">
        <v>2</v>
      </c>
      <c r="B36" s="23" t="s">
        <v>354</v>
      </c>
      <c r="C36" s="24">
        <v>110</v>
      </c>
      <c r="D36" s="25"/>
      <c r="E36" s="25"/>
      <c r="F36" s="106">
        <f t="shared" si="0"/>
        <v>187.494</v>
      </c>
      <c r="G36" s="107">
        <f>G94</f>
        <v>175.494</v>
      </c>
      <c r="H36" s="107">
        <f>H94</f>
        <v>4</v>
      </c>
      <c r="I36" s="107">
        <f>I94</f>
        <v>4</v>
      </c>
      <c r="J36" s="107">
        <f>J94</f>
        <v>4</v>
      </c>
      <c r="K36" s="44"/>
      <c r="L36" s="79"/>
      <c r="M36" s="44"/>
      <c r="N36" s="44"/>
      <c r="O36" s="44"/>
      <c r="P36" s="44"/>
      <c r="Q36" s="44"/>
    </row>
    <row r="37" spans="1:17" s="22" customFormat="1" ht="37.5">
      <c r="A37" s="22">
        <v>3</v>
      </c>
      <c r="B37" s="23" t="s">
        <v>113</v>
      </c>
      <c r="C37" s="24">
        <v>120</v>
      </c>
      <c r="D37" s="25"/>
      <c r="E37" s="25"/>
      <c r="F37" s="106">
        <f t="shared" si="0"/>
        <v>2830</v>
      </c>
      <c r="G37" s="107">
        <f>G38+G39+G40</f>
        <v>1550</v>
      </c>
      <c r="H37" s="107">
        <f>H38+H39+H40</f>
        <v>371</v>
      </c>
      <c r="I37" s="107">
        <f>I38+I39+I40</f>
        <v>205</v>
      </c>
      <c r="J37" s="107">
        <f>J38+J39+J40</f>
        <v>704</v>
      </c>
      <c r="K37" s="44"/>
      <c r="L37" s="79"/>
      <c r="M37" s="44"/>
      <c r="N37" s="44"/>
      <c r="O37" s="44"/>
      <c r="P37" s="44"/>
      <c r="Q37" s="44"/>
    </row>
    <row r="38" spans="1:17" s="22" customFormat="1" ht="56.25">
      <c r="A38" s="22">
        <v>4</v>
      </c>
      <c r="B38" s="26" t="s">
        <v>114</v>
      </c>
      <c r="C38" s="27">
        <v>121</v>
      </c>
      <c r="D38" s="25"/>
      <c r="E38" s="25"/>
      <c r="F38" s="106">
        <f t="shared" si="0"/>
        <v>0</v>
      </c>
      <c r="G38" s="107"/>
      <c r="H38" s="107"/>
      <c r="I38" s="107"/>
      <c r="J38" s="107"/>
      <c r="K38" s="44"/>
      <c r="L38" s="81">
        <f>M38+N38+O38+P38</f>
        <v>300000</v>
      </c>
      <c r="M38" s="184">
        <v>100000</v>
      </c>
      <c r="N38" s="184"/>
      <c r="O38" s="184">
        <v>200000</v>
      </c>
      <c r="P38" s="184"/>
      <c r="Q38" s="44"/>
    </row>
    <row r="39" spans="1:17" s="22" customFormat="1" ht="56.25">
      <c r="A39" s="22">
        <v>5</v>
      </c>
      <c r="B39" s="26" t="s">
        <v>492</v>
      </c>
      <c r="C39" s="27">
        <v>122</v>
      </c>
      <c r="D39" s="25"/>
      <c r="E39" s="25"/>
      <c r="F39" s="106">
        <f t="shared" si="0"/>
        <v>1000</v>
      </c>
      <c r="G39" s="181">
        <f aca="true" t="shared" si="1" ref="G39:J40">M39/1000</f>
        <v>1000</v>
      </c>
      <c r="H39" s="181">
        <f t="shared" si="1"/>
        <v>0</v>
      </c>
      <c r="I39" s="181">
        <f t="shared" si="1"/>
        <v>0</v>
      </c>
      <c r="J39" s="181">
        <f t="shared" si="1"/>
        <v>0</v>
      </c>
      <c r="K39" s="44"/>
      <c r="L39" s="81">
        <f>M39+N39+O39+P39</f>
        <v>1000000</v>
      </c>
      <c r="M39" s="184">
        <v>1000000</v>
      </c>
      <c r="N39" s="184"/>
      <c r="O39" s="184"/>
      <c r="P39" s="184"/>
      <c r="Q39" s="44"/>
    </row>
    <row r="40" spans="1:17" s="22" customFormat="1" ht="60.75" customHeight="1">
      <c r="A40" s="22">
        <v>6</v>
      </c>
      <c r="B40" s="26" t="s">
        <v>493</v>
      </c>
      <c r="C40" s="27">
        <v>123</v>
      </c>
      <c r="D40" s="25"/>
      <c r="E40" s="25"/>
      <c r="F40" s="106">
        <f t="shared" si="0"/>
        <v>1830</v>
      </c>
      <c r="G40" s="181">
        <f t="shared" si="1"/>
        <v>550</v>
      </c>
      <c r="H40" s="181">
        <f t="shared" si="1"/>
        <v>371</v>
      </c>
      <c r="I40" s="181">
        <f t="shared" si="1"/>
        <v>205</v>
      </c>
      <c r="J40" s="181">
        <f t="shared" si="1"/>
        <v>704</v>
      </c>
      <c r="K40" s="44"/>
      <c r="L40" s="81">
        <f>M40+N40+O40+P40</f>
        <v>1830000</v>
      </c>
      <c r="M40" s="184">
        <f>130000+160000+160000+100000</f>
        <v>550000</v>
      </c>
      <c r="N40" s="184">
        <f>252000+118000+1000</f>
        <v>371000</v>
      </c>
      <c r="O40" s="184">
        <f>1000+1000+3000+200000</f>
        <v>205000</v>
      </c>
      <c r="P40" s="184">
        <f>218000+268000+218000</f>
        <v>704000</v>
      </c>
      <c r="Q40" s="44"/>
    </row>
    <row r="41" spans="1:25" ht="24" customHeight="1">
      <c r="A41" s="22">
        <v>7</v>
      </c>
      <c r="B41" s="23" t="s">
        <v>116</v>
      </c>
      <c r="C41" s="24">
        <v>130</v>
      </c>
      <c r="D41" s="28">
        <f>SUM(D42:D59)</f>
        <v>0</v>
      </c>
      <c r="E41" s="28">
        <f>SUM(E42:E59)</f>
        <v>0</v>
      </c>
      <c r="F41" s="108">
        <f t="shared" si="0"/>
        <v>-30473.053600000003</v>
      </c>
      <c r="G41" s="106">
        <f>G42+G45+G46+G51+SUM(G52:G59)</f>
        <v>-7746.84518</v>
      </c>
      <c r="H41" s="106">
        <f>H42+H45+H46+H51+SUM(H52:H59)</f>
        <v>-7587.376180000001</v>
      </c>
      <c r="I41" s="106">
        <f>I42+I45+I46+I51+SUM(I52:I59)</f>
        <v>-7390.445610000001</v>
      </c>
      <c r="J41" s="106">
        <f>J42+J45+J46+J51+SUM(J52:J59)</f>
        <v>-7748.386630000001</v>
      </c>
      <c r="K41" s="44"/>
      <c r="L41" s="79"/>
      <c r="M41" s="124" t="s">
        <v>314</v>
      </c>
      <c r="N41" s="44"/>
      <c r="O41" s="44"/>
      <c r="P41" s="44"/>
      <c r="Q41" s="44"/>
      <c r="S41" s="122">
        <f>S42+S45+S46+S51+S52+S53+S54+S55+S56+S57+S58+S59</f>
        <v>7746845.180000001</v>
      </c>
      <c r="T41" s="122">
        <f>T42+T45+T46+T51+T52+T53+T54+T55+T56+T57+T58+T59</f>
        <v>7587376.180000001</v>
      </c>
      <c r="U41" s="122">
        <f>U42+U45+U46+U51+U52+U53+U54+U55+U56+U57+U58+U59</f>
        <v>7390445.61</v>
      </c>
      <c r="V41" s="122">
        <f>V42+V45+V46+V51+V52+V53+V54+V55+V56+V57+V58+V59</f>
        <v>7748386.630000001</v>
      </c>
      <c r="Y41" s="130">
        <f aca="true" t="shared" si="2" ref="Y41:Y82">F41*-1000</f>
        <v>30473053.6</v>
      </c>
    </row>
    <row r="42" spans="1:25" s="30" customFormat="1" ht="18.75">
      <c r="A42" s="22">
        <v>8</v>
      </c>
      <c r="B42" s="23" t="s">
        <v>117</v>
      </c>
      <c r="C42" s="17">
        <v>140</v>
      </c>
      <c r="D42" s="29"/>
      <c r="E42" s="29"/>
      <c r="F42" s="108">
        <f t="shared" si="0"/>
        <v>-1387</v>
      </c>
      <c r="G42" s="109">
        <f>SUM(G43:G44)</f>
        <v>-199</v>
      </c>
      <c r="H42" s="109">
        <f>SUM(H43:H44)</f>
        <v>-392</v>
      </c>
      <c r="I42" s="109">
        <f>SUM(I43:I44)</f>
        <v>-394</v>
      </c>
      <c r="J42" s="109">
        <f>SUM(J43:J44)</f>
        <v>-402</v>
      </c>
      <c r="K42" s="44"/>
      <c r="L42" s="79"/>
      <c r="M42" s="124" t="s">
        <v>315</v>
      </c>
      <c r="N42" s="44"/>
      <c r="O42" s="44"/>
      <c r="P42" s="44"/>
      <c r="Q42" s="44"/>
      <c r="S42" s="123">
        <f>S43+S44</f>
        <v>199000</v>
      </c>
      <c r="T42" s="123">
        <f>T43+T44</f>
        <v>392000</v>
      </c>
      <c r="U42" s="123">
        <f>U43+U44</f>
        <v>394000</v>
      </c>
      <c r="V42" s="123">
        <f>V43+V44</f>
        <v>402000</v>
      </c>
      <c r="Y42" s="130">
        <f t="shared" si="2"/>
        <v>1387000</v>
      </c>
    </row>
    <row r="43" spans="1:25" s="30" customFormat="1" ht="18.75">
      <c r="A43" s="22">
        <v>9</v>
      </c>
      <c r="B43" s="26" t="s">
        <v>118</v>
      </c>
      <c r="C43" s="31">
        <v>141</v>
      </c>
      <c r="D43" s="25"/>
      <c r="E43" s="25"/>
      <c r="F43" s="106">
        <f t="shared" si="0"/>
        <v>-1000</v>
      </c>
      <c r="G43" s="107">
        <f>-M43/1000</f>
        <v>-97</v>
      </c>
      <c r="H43" s="107">
        <f aca="true" t="shared" si="3" ref="H43:J45">-N43/1000</f>
        <v>-300</v>
      </c>
      <c r="I43" s="107">
        <f t="shared" si="3"/>
        <v>-292</v>
      </c>
      <c r="J43" s="107">
        <f t="shared" si="3"/>
        <v>-311</v>
      </c>
      <c r="K43" s="82"/>
      <c r="L43" s="81">
        <f>M43+N43+O43+P43</f>
        <v>1000000</v>
      </c>
      <c r="M43" s="241">
        <v>97000</v>
      </c>
      <c r="N43" s="241">
        <f>100000+40000+60000+100000</f>
        <v>300000</v>
      </c>
      <c r="O43" s="241">
        <f>63000+60000+60000+97000+12000</f>
        <v>292000</v>
      </c>
      <c r="P43" s="241">
        <f>89100+93510+34390+94000</f>
        <v>311000</v>
      </c>
      <c r="Q43" s="44" t="s">
        <v>929</v>
      </c>
      <c r="R43" s="129">
        <f>L43-Q43</f>
        <v>46894</v>
      </c>
      <c r="S43" s="54">
        <f aca="true" t="shared" si="4" ref="S43:V45">M43</f>
        <v>97000</v>
      </c>
      <c r="T43" s="54">
        <f t="shared" si="4"/>
        <v>300000</v>
      </c>
      <c r="U43" s="54">
        <f t="shared" si="4"/>
        <v>292000</v>
      </c>
      <c r="V43" s="54">
        <f t="shared" si="4"/>
        <v>311000</v>
      </c>
      <c r="Y43" s="130">
        <f t="shared" si="2"/>
        <v>1000000</v>
      </c>
    </row>
    <row r="44" spans="1:25" s="30" customFormat="1" ht="40.5" customHeight="1">
      <c r="A44" s="22">
        <v>10</v>
      </c>
      <c r="B44" s="26" t="s">
        <v>119</v>
      </c>
      <c r="C44" s="31">
        <v>142</v>
      </c>
      <c r="D44" s="25"/>
      <c r="E44" s="25"/>
      <c r="F44" s="106">
        <f t="shared" si="0"/>
        <v>-387</v>
      </c>
      <c r="G44" s="107">
        <f>-M44/1000</f>
        <v>-102</v>
      </c>
      <c r="H44" s="107">
        <f t="shared" si="3"/>
        <v>-92</v>
      </c>
      <c r="I44" s="107">
        <f t="shared" si="3"/>
        <v>-102</v>
      </c>
      <c r="J44" s="107">
        <f t="shared" si="3"/>
        <v>-91</v>
      </c>
      <c r="K44" s="82"/>
      <c r="L44" s="81">
        <f>M44+N44+O44+P44</f>
        <v>387000</v>
      </c>
      <c r="M44" s="241">
        <v>102000</v>
      </c>
      <c r="N44" s="241">
        <f>115000-N61</f>
        <v>92000</v>
      </c>
      <c r="O44" s="241">
        <v>102000</v>
      </c>
      <c r="P44" s="241">
        <v>91000</v>
      </c>
      <c r="Q44" s="44"/>
      <c r="R44" s="129">
        <f>L44-Q44</f>
        <v>387000</v>
      </c>
      <c r="S44" s="54">
        <f t="shared" si="4"/>
        <v>102000</v>
      </c>
      <c r="T44" s="54">
        <f t="shared" si="4"/>
        <v>92000</v>
      </c>
      <c r="U44" s="54">
        <f t="shared" si="4"/>
        <v>102000</v>
      </c>
      <c r="V44" s="54">
        <f t="shared" si="4"/>
        <v>91000</v>
      </c>
      <c r="Y44" s="130">
        <f t="shared" si="2"/>
        <v>387000</v>
      </c>
    </row>
    <row r="45" spans="1:25" s="30" customFormat="1" ht="18.75">
      <c r="A45" s="22">
        <v>11</v>
      </c>
      <c r="B45" s="23" t="s">
        <v>120</v>
      </c>
      <c r="C45" s="17">
        <v>150</v>
      </c>
      <c r="D45" s="25"/>
      <c r="E45" s="25"/>
      <c r="F45" s="106">
        <f aca="true" t="shared" si="5" ref="F45:F75">SUM(G45:J45)</f>
        <v>-320</v>
      </c>
      <c r="G45" s="107">
        <f>-M45/1000</f>
        <v>-49</v>
      </c>
      <c r="H45" s="107">
        <f t="shared" si="3"/>
        <v>-90</v>
      </c>
      <c r="I45" s="107">
        <f t="shared" si="3"/>
        <v>-91</v>
      </c>
      <c r="J45" s="107">
        <f t="shared" si="3"/>
        <v>-90</v>
      </c>
      <c r="K45" s="82"/>
      <c r="L45" s="81">
        <f>M45+N45+O45+P45</f>
        <v>320000</v>
      </c>
      <c r="M45" s="241">
        <f>60000-M68</f>
        <v>49000</v>
      </c>
      <c r="N45" s="241">
        <f>100000-N68</f>
        <v>90000</v>
      </c>
      <c r="O45" s="241">
        <f>100000-O68</f>
        <v>91000</v>
      </c>
      <c r="P45" s="241">
        <f>100000-P68</f>
        <v>90000</v>
      </c>
      <c r="Q45" s="44"/>
      <c r="S45" s="54">
        <f t="shared" si="4"/>
        <v>49000</v>
      </c>
      <c r="T45" s="54">
        <f t="shared" si="4"/>
        <v>90000</v>
      </c>
      <c r="U45" s="54">
        <f t="shared" si="4"/>
        <v>91000</v>
      </c>
      <c r="V45" s="54">
        <f t="shared" si="4"/>
        <v>90000</v>
      </c>
      <c r="Y45" s="130">
        <f t="shared" si="2"/>
        <v>320000</v>
      </c>
    </row>
    <row r="46" spans="1:25" s="30" customFormat="1" ht="18.75">
      <c r="A46" s="22">
        <v>12</v>
      </c>
      <c r="B46" s="23" t="s">
        <v>121</v>
      </c>
      <c r="C46" s="17">
        <v>160</v>
      </c>
      <c r="D46" s="29"/>
      <c r="E46" s="29"/>
      <c r="F46" s="110">
        <f>SUM(G46:J46)</f>
        <v>-549.5</v>
      </c>
      <c r="G46" s="109">
        <f>SUM(G47:G50)</f>
        <v>-269.15999999999997</v>
      </c>
      <c r="H46" s="109">
        <f>SUM(H47:H50)</f>
        <v>-96.375</v>
      </c>
      <c r="I46" s="109">
        <f>SUM(I47:I50)</f>
        <v>-4.525</v>
      </c>
      <c r="J46" s="109">
        <f>SUM(J47:J50)</f>
        <v>-179.44</v>
      </c>
      <c r="K46" s="44"/>
      <c r="L46" s="79"/>
      <c r="M46" s="124" t="s">
        <v>316</v>
      </c>
      <c r="N46" s="44"/>
      <c r="O46" s="44"/>
      <c r="P46" s="44"/>
      <c r="Q46" s="44"/>
      <c r="S46" s="123">
        <f>S47+S48+S49+S50</f>
        <v>269160</v>
      </c>
      <c r="T46" s="123">
        <f>T47+T48+T49+T50</f>
        <v>96375</v>
      </c>
      <c r="U46" s="123">
        <f>U47+U48+U49+U50</f>
        <v>4525</v>
      </c>
      <c r="V46" s="123">
        <f>V47+V48+V49+V50</f>
        <v>179440</v>
      </c>
      <c r="Y46" s="130">
        <f t="shared" si="2"/>
        <v>549500</v>
      </c>
    </row>
    <row r="47" spans="1:25" s="30" customFormat="1" ht="18.75">
      <c r="A47" s="22">
        <v>13</v>
      </c>
      <c r="B47" s="26" t="s">
        <v>122</v>
      </c>
      <c r="C47" s="31">
        <v>161</v>
      </c>
      <c r="D47" s="25"/>
      <c r="E47" s="25"/>
      <c r="F47" s="106">
        <f t="shared" si="5"/>
        <v>-305.78000000000003</v>
      </c>
      <c r="G47" s="107">
        <f>-M47/1000</f>
        <v>-170.52</v>
      </c>
      <c r="H47" s="107">
        <f aca="true" t="shared" si="6" ref="H47:J50">-N47/1000</f>
        <v>-62.4</v>
      </c>
      <c r="I47" s="107">
        <f t="shared" si="6"/>
        <v>0</v>
      </c>
      <c r="J47" s="107">
        <f t="shared" si="6"/>
        <v>-72.86</v>
      </c>
      <c r="K47" s="82"/>
      <c r="L47" s="81">
        <f aca="true" t="shared" si="7" ref="L47:L55">M47+N47+O47+P47</f>
        <v>305780</v>
      </c>
      <c r="M47" s="184">
        <f>(100720+80000+75000)-M66</f>
        <v>170520</v>
      </c>
      <c r="N47" s="184">
        <f>(80000+15000+0)-N66</f>
        <v>62400</v>
      </c>
      <c r="O47" s="184">
        <f>(0*3)-O66</f>
        <v>0</v>
      </c>
      <c r="P47" s="184">
        <f>(26000+36000+40060)-P66</f>
        <v>72860</v>
      </c>
      <c r="Q47" s="44"/>
      <c r="S47" s="54">
        <f>M47</f>
        <v>170520</v>
      </c>
      <c r="T47" s="54">
        <f>N47</f>
        <v>62400</v>
      </c>
      <c r="U47" s="54">
        <f>O47</f>
        <v>0</v>
      </c>
      <c r="V47" s="54">
        <f>P47</f>
        <v>72860</v>
      </c>
      <c r="Y47" s="130">
        <f t="shared" si="2"/>
        <v>305780.00000000006</v>
      </c>
    </row>
    <row r="48" spans="1:25" s="30" customFormat="1" ht="18.75">
      <c r="A48" s="22">
        <v>14</v>
      </c>
      <c r="B48" s="26" t="s">
        <v>123</v>
      </c>
      <c r="C48" s="31">
        <v>162</v>
      </c>
      <c r="D48" s="25"/>
      <c r="E48" s="25"/>
      <c r="F48" s="106">
        <f t="shared" si="5"/>
        <v>-18.328</v>
      </c>
      <c r="G48" s="107">
        <f>-M48/1000</f>
        <v>-4.63</v>
      </c>
      <c r="H48" s="107">
        <f t="shared" si="6"/>
        <v>-4.575</v>
      </c>
      <c r="I48" s="107">
        <f t="shared" si="6"/>
        <v>-4.525</v>
      </c>
      <c r="J48" s="107">
        <f t="shared" si="6"/>
        <v>-4.598</v>
      </c>
      <c r="K48" s="82"/>
      <c r="L48" s="81">
        <f t="shared" si="7"/>
        <v>18328</v>
      </c>
      <c r="M48" s="241">
        <f>(1930+1800+1800)-M67</f>
        <v>4630</v>
      </c>
      <c r="N48" s="241">
        <f>(1650+1900+1825)-N67</f>
        <v>4575</v>
      </c>
      <c r="O48" s="241">
        <f>(1800+1825+1800)-O67</f>
        <v>4525</v>
      </c>
      <c r="P48" s="241">
        <f>(1800+1930+1768)-P67</f>
        <v>4598</v>
      </c>
      <c r="Q48" s="44"/>
      <c r="S48" s="54">
        <f aca="true" t="shared" si="8" ref="S48:V59">M48</f>
        <v>4630</v>
      </c>
      <c r="T48" s="54">
        <f t="shared" si="8"/>
        <v>4575</v>
      </c>
      <c r="U48" s="54">
        <f t="shared" si="8"/>
        <v>4525</v>
      </c>
      <c r="V48" s="54">
        <f t="shared" si="8"/>
        <v>4598</v>
      </c>
      <c r="Y48" s="130">
        <f t="shared" si="2"/>
        <v>18328</v>
      </c>
    </row>
    <row r="49" spans="1:25" s="30" customFormat="1" ht="18.75">
      <c r="A49" s="22">
        <v>15</v>
      </c>
      <c r="B49" s="26" t="s">
        <v>124</v>
      </c>
      <c r="C49" s="31">
        <v>163</v>
      </c>
      <c r="D49" s="25"/>
      <c r="E49" s="25"/>
      <c r="F49" s="106">
        <f t="shared" si="5"/>
        <v>-29.5</v>
      </c>
      <c r="G49" s="107">
        <f>-M49/1000</f>
        <v>-13.2</v>
      </c>
      <c r="H49" s="107">
        <f t="shared" si="6"/>
        <v>0</v>
      </c>
      <c r="I49" s="107">
        <f t="shared" si="6"/>
        <v>0</v>
      </c>
      <c r="J49" s="107">
        <f t="shared" si="6"/>
        <v>-16.3</v>
      </c>
      <c r="K49" s="82"/>
      <c r="L49" s="81">
        <f t="shared" si="7"/>
        <v>29500</v>
      </c>
      <c r="M49" s="241">
        <f>0+9000+4200</f>
        <v>13200</v>
      </c>
      <c r="N49" s="241">
        <v>0</v>
      </c>
      <c r="O49" s="241">
        <v>0</v>
      </c>
      <c r="P49" s="241">
        <f>2200+6200+7900</f>
        <v>16300</v>
      </c>
      <c r="Q49" s="44"/>
      <c r="S49" s="54">
        <f t="shared" si="8"/>
        <v>13200</v>
      </c>
      <c r="T49" s="54">
        <f t="shared" si="8"/>
        <v>0</v>
      </c>
      <c r="U49" s="54">
        <f t="shared" si="8"/>
        <v>0</v>
      </c>
      <c r="V49" s="54">
        <f t="shared" si="8"/>
        <v>16300</v>
      </c>
      <c r="Y49" s="130">
        <f t="shared" si="2"/>
        <v>29500</v>
      </c>
    </row>
    <row r="50" spans="1:25" s="30" customFormat="1" ht="18.75">
      <c r="A50" s="22">
        <v>16</v>
      </c>
      <c r="B50" s="26" t="s">
        <v>125</v>
      </c>
      <c r="C50" s="31">
        <v>164</v>
      </c>
      <c r="D50" s="25"/>
      <c r="E50" s="25"/>
      <c r="F50" s="106">
        <f>SUM(G50:J50)</f>
        <v>-195.892</v>
      </c>
      <c r="G50" s="107">
        <f>-M50/1000</f>
        <v>-80.81</v>
      </c>
      <c r="H50" s="107">
        <f t="shared" si="6"/>
        <v>-29.4</v>
      </c>
      <c r="I50" s="107">
        <f t="shared" si="6"/>
        <v>0</v>
      </c>
      <c r="J50" s="107">
        <f t="shared" si="6"/>
        <v>-85.682</v>
      </c>
      <c r="K50" s="82"/>
      <c r="L50" s="81">
        <f t="shared" si="7"/>
        <v>195892</v>
      </c>
      <c r="M50" s="241">
        <f>7350+36730+36730</f>
        <v>80810</v>
      </c>
      <c r="N50" s="241">
        <f>29400</f>
        <v>29400</v>
      </c>
      <c r="O50" s="241">
        <v>0</v>
      </c>
      <c r="P50" s="241">
        <f>4900+41630+39152</f>
        <v>85682</v>
      </c>
      <c r="Q50" s="44"/>
      <c r="S50" s="54">
        <f t="shared" si="8"/>
        <v>80810</v>
      </c>
      <c r="T50" s="54">
        <f t="shared" si="8"/>
        <v>29400</v>
      </c>
      <c r="U50" s="54">
        <f t="shared" si="8"/>
        <v>0</v>
      </c>
      <c r="V50" s="54">
        <f t="shared" si="8"/>
        <v>85682</v>
      </c>
      <c r="Y50" s="130">
        <f t="shared" si="2"/>
        <v>195892</v>
      </c>
    </row>
    <row r="51" spans="1:25" s="30" customFormat="1" ht="37.5">
      <c r="A51" s="22">
        <v>17</v>
      </c>
      <c r="B51" s="23" t="s">
        <v>126</v>
      </c>
      <c r="C51" s="17">
        <v>170</v>
      </c>
      <c r="D51" s="25"/>
      <c r="E51" s="25"/>
      <c r="F51" s="106">
        <f t="shared" si="5"/>
        <v>-812</v>
      </c>
      <c r="G51" s="107">
        <f>-M51/1000</f>
        <v>-235</v>
      </c>
      <c r="H51" s="107">
        <f>-N51/1000</f>
        <v>-214.8</v>
      </c>
      <c r="I51" s="107">
        <f>-O51/1000</f>
        <v>-177</v>
      </c>
      <c r="J51" s="107">
        <f>-P51/1000</f>
        <v>-185.2</v>
      </c>
      <c r="K51" s="82"/>
      <c r="L51" s="81">
        <f t="shared" si="7"/>
        <v>812000</v>
      </c>
      <c r="M51" s="241">
        <v>235000</v>
      </c>
      <c r="N51" s="241">
        <v>214800</v>
      </c>
      <c r="O51" s="241">
        <v>177000</v>
      </c>
      <c r="P51" s="241">
        <v>185200</v>
      </c>
      <c r="Q51" s="44"/>
      <c r="S51" s="54">
        <f t="shared" si="8"/>
        <v>235000</v>
      </c>
      <c r="T51" s="54">
        <f t="shared" si="8"/>
        <v>214800</v>
      </c>
      <c r="U51" s="54">
        <f t="shared" si="8"/>
        <v>177000</v>
      </c>
      <c r="V51" s="54">
        <f t="shared" si="8"/>
        <v>185200</v>
      </c>
      <c r="Y51" s="130">
        <f t="shared" si="2"/>
        <v>812000</v>
      </c>
    </row>
    <row r="52" spans="1:25" s="30" customFormat="1" ht="18.75">
      <c r="A52" s="22">
        <v>18</v>
      </c>
      <c r="B52" s="23" t="s">
        <v>127</v>
      </c>
      <c r="C52" s="17">
        <v>180</v>
      </c>
      <c r="D52" s="25"/>
      <c r="E52" s="25"/>
      <c r="F52" s="106">
        <f>SUM(G52:J52)</f>
        <v>-22087.43781</v>
      </c>
      <c r="G52" s="107">
        <f aca="true" t="shared" si="9" ref="G52:J54">-M52/1000</f>
        <v>-5651.26648</v>
      </c>
      <c r="H52" s="107">
        <f t="shared" si="9"/>
        <v>-5467.756420000001</v>
      </c>
      <c r="I52" s="107">
        <f t="shared" si="9"/>
        <v>-5483.925260000001</v>
      </c>
      <c r="J52" s="107">
        <f t="shared" si="9"/>
        <v>-5484.48965</v>
      </c>
      <c r="K52" s="82"/>
      <c r="L52" s="242">
        <f t="shared" si="7"/>
        <v>22087437.810000002</v>
      </c>
      <c r="M52" s="94">
        <f>1650000*3+283658.5+368852.48+40983.61-15+7786.89</f>
        <v>5651266.48</v>
      </c>
      <c r="N52" s="94">
        <f>1650000*3+73730.48+81967.21+368852+3278.69+40983.61+10-51065.57</f>
        <v>5467756.420000001</v>
      </c>
      <c r="O52" s="94">
        <f>1650000*3+95941.66+372131.15+3278.69+54508.2-541+8606.56</f>
        <v>5483925.260000001</v>
      </c>
      <c r="P52" s="94">
        <f>1650000*3+55685.76+413114.75+3278.69+54508.2-541+8442.62+0.63</f>
        <v>5484489.65</v>
      </c>
      <c r="Q52" s="44"/>
      <c r="S52" s="54">
        <f t="shared" si="8"/>
        <v>5651266.48</v>
      </c>
      <c r="T52" s="54">
        <f t="shared" si="8"/>
        <v>5467756.420000001</v>
      </c>
      <c r="U52" s="54">
        <f t="shared" si="8"/>
        <v>5483925.260000001</v>
      </c>
      <c r="V52" s="54">
        <f t="shared" si="8"/>
        <v>5484489.65</v>
      </c>
      <c r="Y52" s="130">
        <f t="shared" si="2"/>
        <v>22087437.81</v>
      </c>
    </row>
    <row r="53" spans="1:25" s="30" customFormat="1" ht="18.75">
      <c r="A53" s="22">
        <v>19</v>
      </c>
      <c r="B53" s="23" t="s">
        <v>128</v>
      </c>
      <c r="C53" s="17">
        <v>190</v>
      </c>
      <c r="D53" s="25"/>
      <c r="E53" s="25"/>
      <c r="F53" s="106">
        <f t="shared" si="5"/>
        <v>-4821.044</v>
      </c>
      <c r="G53" s="107">
        <f t="shared" si="9"/>
        <v>-1233.6787000000002</v>
      </c>
      <c r="H53" s="107">
        <f t="shared" si="9"/>
        <v>-1193.39476</v>
      </c>
      <c r="I53" s="107">
        <f t="shared" si="9"/>
        <v>-1196.92356</v>
      </c>
      <c r="J53" s="107">
        <f t="shared" si="9"/>
        <v>-1197.0469800000003</v>
      </c>
      <c r="K53" s="82"/>
      <c r="L53" s="242">
        <f t="shared" si="7"/>
        <v>4821044</v>
      </c>
      <c r="M53" s="94">
        <f>360000*3+62404.87+81148.33+9016.39-604+1713.11</f>
        <v>1233678.7000000002</v>
      </c>
      <c r="N53" s="94">
        <f>360000*3+16220.7+18032.79+81148+721.31+9016.39-510-11234.43</f>
        <v>1193394.76</v>
      </c>
      <c r="O53" s="94">
        <f>360000*3+21107.16+81868.85+721.31+11991.8-659+1893.44</f>
        <v>1196923.56</v>
      </c>
      <c r="P53" s="94">
        <f>360000*3+12250.87+90885.25+721.31+11991.8-659+1857.38-0.63</f>
        <v>1197046.9800000002</v>
      </c>
      <c r="Q53" s="44"/>
      <c r="S53" s="54">
        <f t="shared" si="8"/>
        <v>1233678.7000000002</v>
      </c>
      <c r="T53" s="54">
        <f t="shared" si="8"/>
        <v>1193394.76</v>
      </c>
      <c r="U53" s="54">
        <f t="shared" si="8"/>
        <v>1196923.56</v>
      </c>
      <c r="V53" s="54">
        <f t="shared" si="8"/>
        <v>1197046.9800000002</v>
      </c>
      <c r="Y53" s="130">
        <f t="shared" si="2"/>
        <v>4821044</v>
      </c>
    </row>
    <row r="54" spans="1:25" s="30" customFormat="1" ht="18.75">
      <c r="A54" s="22">
        <v>20</v>
      </c>
      <c r="B54" s="23" t="s">
        <v>129</v>
      </c>
      <c r="C54" s="17">
        <v>200</v>
      </c>
      <c r="D54" s="25"/>
      <c r="E54" s="25"/>
      <c r="F54" s="106">
        <f t="shared" si="5"/>
        <v>-48</v>
      </c>
      <c r="G54" s="107">
        <f>-M54/1000</f>
        <v>-15</v>
      </c>
      <c r="H54" s="107">
        <f t="shared" si="9"/>
        <v>-15</v>
      </c>
      <c r="I54" s="107">
        <f t="shared" si="9"/>
        <v>-10</v>
      </c>
      <c r="J54" s="107">
        <f t="shared" si="9"/>
        <v>-8</v>
      </c>
      <c r="K54" s="82"/>
      <c r="L54" s="81">
        <f t="shared" si="7"/>
        <v>48000</v>
      </c>
      <c r="M54" s="241">
        <v>15000</v>
      </c>
      <c r="N54" s="241">
        <v>15000</v>
      </c>
      <c r="O54" s="241">
        <v>10000</v>
      </c>
      <c r="P54" s="241">
        <v>8000</v>
      </c>
      <c r="Q54" s="44"/>
      <c r="S54" s="54">
        <f t="shared" si="8"/>
        <v>15000</v>
      </c>
      <c r="T54" s="54">
        <f t="shared" si="8"/>
        <v>15000</v>
      </c>
      <c r="U54" s="54">
        <f t="shared" si="8"/>
        <v>10000</v>
      </c>
      <c r="V54" s="54">
        <f t="shared" si="8"/>
        <v>8000</v>
      </c>
      <c r="Y54" s="130">
        <f t="shared" si="2"/>
        <v>48000</v>
      </c>
    </row>
    <row r="55" spans="1:25" s="30" customFormat="1" ht="18.75">
      <c r="A55" s="22">
        <v>21</v>
      </c>
      <c r="B55" s="23" t="s">
        <v>130</v>
      </c>
      <c r="C55" s="17">
        <v>210</v>
      </c>
      <c r="D55" s="25"/>
      <c r="E55" s="25"/>
      <c r="F55" s="106">
        <f t="shared" si="5"/>
        <v>-25</v>
      </c>
      <c r="G55" s="107">
        <f>-M55/1000</f>
        <v>0</v>
      </c>
      <c r="H55" s="107">
        <f aca="true" t="shared" si="10" ref="H55:J57">-N55/1000</f>
        <v>-15</v>
      </c>
      <c r="I55" s="107">
        <f t="shared" si="10"/>
        <v>-5</v>
      </c>
      <c r="J55" s="107">
        <f t="shared" si="10"/>
        <v>-5</v>
      </c>
      <c r="K55" s="82"/>
      <c r="L55" s="81">
        <f t="shared" si="7"/>
        <v>25000</v>
      </c>
      <c r="M55" s="241">
        <v>0</v>
      </c>
      <c r="N55" s="241">
        <v>15000</v>
      </c>
      <c r="O55" s="241">
        <v>5000</v>
      </c>
      <c r="P55" s="241">
        <v>5000</v>
      </c>
      <c r="Q55" s="44"/>
      <c r="S55" s="54">
        <f t="shared" si="8"/>
        <v>0</v>
      </c>
      <c r="T55" s="54">
        <f t="shared" si="8"/>
        <v>15000</v>
      </c>
      <c r="U55" s="54">
        <f t="shared" si="8"/>
        <v>5000</v>
      </c>
      <c r="V55" s="54">
        <f t="shared" si="8"/>
        <v>5000</v>
      </c>
      <c r="Y55" s="130">
        <f t="shared" si="2"/>
        <v>25000</v>
      </c>
    </row>
    <row r="56" spans="1:25" s="30" customFormat="1" ht="18.75">
      <c r="A56" s="22">
        <v>22</v>
      </c>
      <c r="B56" s="185" t="s">
        <v>405</v>
      </c>
      <c r="C56" s="17">
        <v>220</v>
      </c>
      <c r="D56" s="25"/>
      <c r="E56" s="25"/>
      <c r="F56" s="106">
        <f t="shared" si="5"/>
        <v>-400</v>
      </c>
      <c r="G56" s="107">
        <f>-M56/1000</f>
        <v>-94.74</v>
      </c>
      <c r="H56" s="107">
        <f t="shared" si="10"/>
        <v>-103.05</v>
      </c>
      <c r="I56" s="107">
        <f t="shared" si="10"/>
        <v>-5</v>
      </c>
      <c r="J56" s="107">
        <f t="shared" si="10"/>
        <v>-197.21</v>
      </c>
      <c r="K56" s="44"/>
      <c r="L56" s="81">
        <f>M56+N56+O56+P56</f>
        <v>400000</v>
      </c>
      <c r="M56" s="301">
        <f>20000+32470+42270</f>
        <v>94740</v>
      </c>
      <c r="N56" s="301">
        <f>40950+61100+1000</f>
        <v>103050</v>
      </c>
      <c r="O56" s="301">
        <f>1000+1000+3000</f>
        <v>5000</v>
      </c>
      <c r="P56" s="301">
        <f>32450+7450+7310+81745+18255+50000</f>
        <v>197210</v>
      </c>
      <c r="Q56" s="302" t="s">
        <v>928</v>
      </c>
      <c r="S56" s="54">
        <f t="shared" si="8"/>
        <v>94740</v>
      </c>
      <c r="T56" s="54">
        <f t="shared" si="8"/>
        <v>103050</v>
      </c>
      <c r="U56" s="54">
        <f t="shared" si="8"/>
        <v>5000</v>
      </c>
      <c r="V56" s="54">
        <f t="shared" si="8"/>
        <v>197210</v>
      </c>
      <c r="Y56" s="130">
        <f t="shared" si="2"/>
        <v>400000</v>
      </c>
    </row>
    <row r="57" spans="1:25" s="30" customFormat="1" ht="41.25" customHeight="1">
      <c r="A57" s="22">
        <v>23</v>
      </c>
      <c r="B57" s="23" t="s">
        <v>131</v>
      </c>
      <c r="C57" s="17">
        <v>230</v>
      </c>
      <c r="D57" s="25"/>
      <c r="E57" s="25"/>
      <c r="F57" s="106">
        <f t="shared" si="5"/>
        <v>-23.07179</v>
      </c>
      <c r="G57" s="107">
        <f>-M57/1000</f>
        <v>0</v>
      </c>
      <c r="H57" s="107">
        <f t="shared" si="10"/>
        <v>0</v>
      </c>
      <c r="I57" s="107">
        <f t="shared" si="10"/>
        <v>-23.07179</v>
      </c>
      <c r="J57" s="107">
        <f t="shared" si="10"/>
        <v>0</v>
      </c>
      <c r="K57" s="82"/>
      <c r="L57" s="81">
        <f>M57+N57+O57+P57</f>
        <v>23071.79</v>
      </c>
      <c r="M57" s="241">
        <v>0</v>
      </c>
      <c r="N57" s="241">
        <v>0</v>
      </c>
      <c r="O57" s="241">
        <v>23071.79</v>
      </c>
      <c r="P57" s="241">
        <v>0</v>
      </c>
      <c r="Q57" s="44"/>
      <c r="S57" s="54">
        <f t="shared" si="8"/>
        <v>0</v>
      </c>
      <c r="T57" s="54">
        <f t="shared" si="8"/>
        <v>0</v>
      </c>
      <c r="U57" s="54">
        <f t="shared" si="8"/>
        <v>23071.79</v>
      </c>
      <c r="V57" s="54">
        <f t="shared" si="8"/>
        <v>0</v>
      </c>
      <c r="Y57" s="130">
        <f t="shared" si="2"/>
        <v>23071.79</v>
      </c>
    </row>
    <row r="58" spans="1:25" s="30" customFormat="1" ht="18.75">
      <c r="A58" s="22">
        <v>24</v>
      </c>
      <c r="B58" s="23" t="s">
        <v>132</v>
      </c>
      <c r="C58" s="17">
        <v>240</v>
      </c>
      <c r="D58" s="25"/>
      <c r="E58" s="25"/>
      <c r="F58" s="106">
        <f t="shared" si="5"/>
        <v>0</v>
      </c>
      <c r="G58" s="107">
        <v>0</v>
      </c>
      <c r="H58" s="107">
        <v>0</v>
      </c>
      <c r="I58" s="107">
        <v>0</v>
      </c>
      <c r="J58" s="107">
        <v>0</v>
      </c>
      <c r="K58" s="44"/>
      <c r="L58" s="79"/>
      <c r="M58" s="44"/>
      <c r="N58" s="44"/>
      <c r="O58" s="44"/>
      <c r="P58" s="44"/>
      <c r="Q58" s="44"/>
      <c r="S58" s="54">
        <f t="shared" si="8"/>
        <v>0</v>
      </c>
      <c r="T58" s="54">
        <f t="shared" si="8"/>
        <v>0</v>
      </c>
      <c r="U58" s="54">
        <f t="shared" si="8"/>
        <v>0</v>
      </c>
      <c r="V58" s="54">
        <f t="shared" si="8"/>
        <v>0</v>
      </c>
      <c r="Y58" s="130">
        <f t="shared" si="2"/>
        <v>0</v>
      </c>
    </row>
    <row r="59" spans="1:25" s="30" customFormat="1" ht="30.75" customHeight="1">
      <c r="A59" s="22">
        <v>25</v>
      </c>
      <c r="B59" s="23" t="s">
        <v>202</v>
      </c>
      <c r="C59" s="24">
        <v>250</v>
      </c>
      <c r="D59" s="25"/>
      <c r="E59" s="25"/>
      <c r="F59" s="106">
        <f t="shared" si="5"/>
        <v>0</v>
      </c>
      <c r="G59" s="107">
        <v>0</v>
      </c>
      <c r="H59" s="107">
        <v>0</v>
      </c>
      <c r="I59" s="107">
        <v>0</v>
      </c>
      <c r="J59" s="107">
        <v>0</v>
      </c>
      <c r="K59" s="44"/>
      <c r="L59" s="79"/>
      <c r="M59" s="44"/>
      <c r="N59" s="44"/>
      <c r="O59" s="44"/>
      <c r="P59" s="44"/>
      <c r="Q59" s="44"/>
      <c r="S59" s="54">
        <f t="shared" si="8"/>
        <v>0</v>
      </c>
      <c r="T59" s="54">
        <f t="shared" si="8"/>
        <v>0</v>
      </c>
      <c r="U59" s="54">
        <f t="shared" si="8"/>
        <v>0</v>
      </c>
      <c r="V59" s="54">
        <f t="shared" si="8"/>
        <v>0</v>
      </c>
      <c r="Y59" s="130">
        <f t="shared" si="2"/>
        <v>0</v>
      </c>
    </row>
    <row r="60" spans="1:25" ht="18.75">
      <c r="A60" s="22">
        <v>26</v>
      </c>
      <c r="B60" s="23" t="s">
        <v>134</v>
      </c>
      <c r="C60" s="24">
        <v>260</v>
      </c>
      <c r="D60" s="28">
        <f>SUM(D61:D69,D71)</f>
        <v>0</v>
      </c>
      <c r="E60" s="28">
        <f>SUM(E61:E69,E71)</f>
        <v>0</v>
      </c>
      <c r="F60" s="108">
        <f t="shared" si="5"/>
        <v>-4597.400000000001</v>
      </c>
      <c r="G60" s="106">
        <f>SUM(G61:G71)</f>
        <v>-1277.6000000000001</v>
      </c>
      <c r="H60" s="106">
        <f>SUM(H61:H71)</f>
        <v>-1156.3999999999999</v>
      </c>
      <c r="I60" s="106">
        <f>SUM(I61:I71)</f>
        <v>-1060.1000000000001</v>
      </c>
      <c r="J60" s="106">
        <f>SUM(J61:J71)</f>
        <v>-1103.3000000000002</v>
      </c>
      <c r="K60" s="44"/>
      <c r="L60" s="79"/>
      <c r="M60" s="124" t="s">
        <v>317</v>
      </c>
      <c r="N60" s="44"/>
      <c r="O60" s="44"/>
      <c r="P60" s="44"/>
      <c r="Q60" s="44"/>
      <c r="S60" s="128">
        <f>S61+S62+S63+S64+S65+S66+S67+S68+S69+S70+S71</f>
        <v>1277600</v>
      </c>
      <c r="T60" s="128">
        <f>T61+T62+T63+T64+T65+T66+T67+T68+T69+T70+T71</f>
        <v>1156400</v>
      </c>
      <c r="U60" s="128">
        <f>U61+U62+U63+U64+U65+U66+U67+U68+U69+U70+U71</f>
        <v>1060100</v>
      </c>
      <c r="V60" s="128">
        <f>V61+V62+V63+V64+V65+V66+V67+V68+V69+V70+V71</f>
        <v>1103300</v>
      </c>
      <c r="Y60" s="130">
        <f t="shared" si="2"/>
        <v>4597400.000000001</v>
      </c>
    </row>
    <row r="61" spans="1:25" ht="56.25">
      <c r="A61" s="22">
        <v>27</v>
      </c>
      <c r="B61" s="26" t="s">
        <v>135</v>
      </c>
      <c r="C61" s="27">
        <v>261</v>
      </c>
      <c r="D61" s="25"/>
      <c r="E61" s="25"/>
      <c r="F61" s="106">
        <f t="shared" si="5"/>
        <v>-95</v>
      </c>
      <c r="G61" s="107">
        <f aca="true" t="shared" si="11" ref="G61:G71">-M61/1000</f>
        <v>-23</v>
      </c>
      <c r="H61" s="107">
        <f aca="true" t="shared" si="12" ref="H61:J63">-N61/1000</f>
        <v>-23</v>
      </c>
      <c r="I61" s="107">
        <f t="shared" si="12"/>
        <v>-23</v>
      </c>
      <c r="J61" s="107">
        <f t="shared" si="12"/>
        <v>-26</v>
      </c>
      <c r="K61" s="82"/>
      <c r="L61" s="81">
        <f aca="true" t="shared" si="13" ref="L61:L69">M61+N61+O61+P61</f>
        <v>95000</v>
      </c>
      <c r="M61" s="241">
        <v>23000</v>
      </c>
      <c r="N61" s="241">
        <v>23000</v>
      </c>
      <c r="O61" s="241">
        <v>23000</v>
      </c>
      <c r="P61" s="241">
        <v>26000</v>
      </c>
      <c r="Q61" s="44"/>
      <c r="S61" s="86">
        <f>M61</f>
        <v>23000</v>
      </c>
      <c r="T61" s="86">
        <f>N61</f>
        <v>23000</v>
      </c>
      <c r="U61" s="86">
        <f>O61</f>
        <v>23000</v>
      </c>
      <c r="V61" s="86">
        <f>P61</f>
        <v>26000</v>
      </c>
      <c r="Y61" s="130">
        <f t="shared" si="2"/>
        <v>95000</v>
      </c>
    </row>
    <row r="62" spans="1:25" ht="42" customHeight="1">
      <c r="A62" s="22">
        <v>28</v>
      </c>
      <c r="B62" s="26" t="s">
        <v>126</v>
      </c>
      <c r="C62" s="27">
        <v>262</v>
      </c>
      <c r="D62" s="25"/>
      <c r="E62" s="25"/>
      <c r="F62" s="106">
        <f t="shared" si="5"/>
        <v>-170</v>
      </c>
      <c r="G62" s="107">
        <f t="shared" si="11"/>
        <v>-45</v>
      </c>
      <c r="H62" s="107">
        <f t="shared" si="12"/>
        <v>-40</v>
      </c>
      <c r="I62" s="107">
        <f t="shared" si="12"/>
        <v>-40</v>
      </c>
      <c r="J62" s="107">
        <f t="shared" si="12"/>
        <v>-45</v>
      </c>
      <c r="K62" s="82"/>
      <c r="L62" s="81">
        <f t="shared" si="13"/>
        <v>170000</v>
      </c>
      <c r="M62" s="241">
        <v>45000</v>
      </c>
      <c r="N62" s="241">
        <v>40000</v>
      </c>
      <c r="O62" s="241">
        <v>40000</v>
      </c>
      <c r="P62" s="241">
        <v>45000</v>
      </c>
      <c r="Q62" s="44"/>
      <c r="S62" s="86">
        <f aca="true" t="shared" si="14" ref="S62:V71">M62</f>
        <v>45000</v>
      </c>
      <c r="T62" s="86">
        <f t="shared" si="14"/>
        <v>40000</v>
      </c>
      <c r="U62" s="86">
        <f t="shared" si="14"/>
        <v>40000</v>
      </c>
      <c r="V62" s="86">
        <f t="shared" si="14"/>
        <v>45000</v>
      </c>
      <c r="Y62" s="130">
        <f t="shared" si="2"/>
        <v>170000</v>
      </c>
    </row>
    <row r="63" spans="1:25" s="30" customFormat="1" ht="21" customHeight="1">
      <c r="A63" s="22">
        <v>29</v>
      </c>
      <c r="B63" s="26" t="s">
        <v>136</v>
      </c>
      <c r="C63" s="27">
        <v>263</v>
      </c>
      <c r="D63" s="25"/>
      <c r="E63" s="25"/>
      <c r="F63" s="106">
        <f t="shared" si="5"/>
        <v>-7</v>
      </c>
      <c r="G63" s="107">
        <f t="shared" si="11"/>
        <v>-4</v>
      </c>
      <c r="H63" s="107">
        <f t="shared" si="12"/>
        <v>-1</v>
      </c>
      <c r="I63" s="107">
        <f t="shared" si="12"/>
        <v>-1</v>
      </c>
      <c r="J63" s="107">
        <f t="shared" si="12"/>
        <v>-1</v>
      </c>
      <c r="K63" s="82"/>
      <c r="L63" s="81">
        <f t="shared" si="13"/>
        <v>7000</v>
      </c>
      <c r="M63" s="241">
        <v>4000</v>
      </c>
      <c r="N63" s="241">
        <v>1000</v>
      </c>
      <c r="O63" s="241">
        <v>1000</v>
      </c>
      <c r="P63" s="241">
        <v>1000</v>
      </c>
      <c r="Q63" s="44"/>
      <c r="S63" s="86">
        <f t="shared" si="14"/>
        <v>4000</v>
      </c>
      <c r="T63" s="86">
        <f t="shared" si="14"/>
        <v>1000</v>
      </c>
      <c r="U63" s="86">
        <f t="shared" si="14"/>
        <v>1000</v>
      </c>
      <c r="V63" s="86">
        <f t="shared" si="14"/>
        <v>1000</v>
      </c>
      <c r="Y63" s="130">
        <f t="shared" si="2"/>
        <v>7000</v>
      </c>
    </row>
    <row r="64" spans="1:25" s="30" customFormat="1" ht="18.75">
      <c r="A64" s="22">
        <v>30</v>
      </c>
      <c r="B64" s="26" t="s">
        <v>137</v>
      </c>
      <c r="C64" s="27">
        <v>264</v>
      </c>
      <c r="D64" s="25"/>
      <c r="E64" s="25"/>
      <c r="F64" s="106">
        <f t="shared" si="5"/>
        <v>-3371.4</v>
      </c>
      <c r="G64" s="107">
        <f t="shared" si="11"/>
        <v>-900</v>
      </c>
      <c r="H64" s="107">
        <f aca="true" t="shared" si="15" ref="H64:J71">-N64/1000</f>
        <v>-855.4</v>
      </c>
      <c r="I64" s="107">
        <f t="shared" si="15"/>
        <v>-808</v>
      </c>
      <c r="J64" s="107">
        <f t="shared" si="15"/>
        <v>-808</v>
      </c>
      <c r="K64" s="82"/>
      <c r="L64" s="87">
        <f t="shared" si="13"/>
        <v>3371400</v>
      </c>
      <c r="M64" s="80">
        <f>260000*3+79001+40984+15</f>
        <v>900000</v>
      </c>
      <c r="N64" s="80">
        <f>260000*3+34426+40984-10</f>
        <v>855400</v>
      </c>
      <c r="O64" s="80">
        <f>260000*3+27459+541</f>
        <v>808000</v>
      </c>
      <c r="P64" s="80">
        <f>260000*3+27459+541</f>
        <v>808000</v>
      </c>
      <c r="Q64" s="44"/>
      <c r="R64" s="80"/>
      <c r="S64" s="86">
        <f t="shared" si="14"/>
        <v>900000</v>
      </c>
      <c r="T64" s="86">
        <f t="shared" si="14"/>
        <v>855400</v>
      </c>
      <c r="U64" s="86">
        <f t="shared" si="14"/>
        <v>808000</v>
      </c>
      <c r="V64" s="86">
        <f t="shared" si="14"/>
        <v>808000</v>
      </c>
      <c r="Y64" s="130">
        <f t="shared" si="2"/>
        <v>3371400</v>
      </c>
    </row>
    <row r="65" spans="1:25" s="30" customFormat="1" ht="18.75">
      <c r="A65" s="22">
        <v>31</v>
      </c>
      <c r="B65" s="26" t="s">
        <v>138</v>
      </c>
      <c r="C65" s="27">
        <v>265</v>
      </c>
      <c r="D65" s="25"/>
      <c r="E65" s="25"/>
      <c r="F65" s="106">
        <f t="shared" si="5"/>
        <v>-741.5</v>
      </c>
      <c r="G65" s="107">
        <f t="shared" si="11"/>
        <v>-198</v>
      </c>
      <c r="H65" s="107">
        <f t="shared" si="15"/>
        <v>-188.1</v>
      </c>
      <c r="I65" s="107">
        <f t="shared" si="15"/>
        <v>-177.7</v>
      </c>
      <c r="J65" s="107">
        <f t="shared" si="15"/>
        <v>-177.7</v>
      </c>
      <c r="K65" s="82"/>
      <c r="L65" s="87">
        <f t="shared" si="13"/>
        <v>741500</v>
      </c>
      <c r="M65" s="80">
        <f>57000*3+17380+9016+604</f>
        <v>198000</v>
      </c>
      <c r="N65" s="80">
        <f>57000*3+7574+9016+510</f>
        <v>188100</v>
      </c>
      <c r="O65" s="80">
        <f>57000*3+6041+659</f>
        <v>177700</v>
      </c>
      <c r="P65" s="80">
        <f>57000*3+6041+659</f>
        <v>177700</v>
      </c>
      <c r="Q65" s="44"/>
      <c r="R65" s="80"/>
      <c r="S65" s="86">
        <f t="shared" si="14"/>
        <v>198000</v>
      </c>
      <c r="T65" s="86">
        <f t="shared" si="14"/>
        <v>188100</v>
      </c>
      <c r="U65" s="86">
        <f t="shared" si="14"/>
        <v>177700</v>
      </c>
      <c r="V65" s="86">
        <f t="shared" si="14"/>
        <v>177700</v>
      </c>
      <c r="Y65" s="130">
        <f t="shared" si="2"/>
        <v>741500</v>
      </c>
    </row>
    <row r="66" spans="1:25" s="30" customFormat="1" ht="21" customHeight="1">
      <c r="A66" s="22">
        <v>32</v>
      </c>
      <c r="B66" s="26" t="s">
        <v>122</v>
      </c>
      <c r="C66" s="27">
        <v>266</v>
      </c>
      <c r="D66" s="25"/>
      <c r="E66" s="25"/>
      <c r="F66" s="106">
        <f t="shared" si="5"/>
        <v>-147</v>
      </c>
      <c r="G66" s="107">
        <f t="shared" si="11"/>
        <v>-85.2</v>
      </c>
      <c r="H66" s="107">
        <f t="shared" si="15"/>
        <v>-32.6</v>
      </c>
      <c r="I66" s="107">
        <f t="shared" si="15"/>
        <v>0</v>
      </c>
      <c r="J66" s="107">
        <f t="shared" si="15"/>
        <v>-29.2</v>
      </c>
      <c r="K66" s="82"/>
      <c r="L66" s="81">
        <f t="shared" si="13"/>
        <v>147000</v>
      </c>
      <c r="M66" s="184">
        <v>85200</v>
      </c>
      <c r="N66" s="184">
        <v>32600</v>
      </c>
      <c r="O66" s="184">
        <v>0</v>
      </c>
      <c r="P66" s="184">
        <v>29200</v>
      </c>
      <c r="Q66" s="44"/>
      <c r="S66" s="86">
        <f t="shared" si="14"/>
        <v>85200</v>
      </c>
      <c r="T66" s="86">
        <f t="shared" si="14"/>
        <v>32600</v>
      </c>
      <c r="U66" s="86">
        <f t="shared" si="14"/>
        <v>0</v>
      </c>
      <c r="V66" s="86">
        <f t="shared" si="14"/>
        <v>29200</v>
      </c>
      <c r="Y66" s="130">
        <f t="shared" si="2"/>
        <v>147000</v>
      </c>
    </row>
    <row r="67" spans="1:25" s="30" customFormat="1" ht="18.75">
      <c r="A67" s="22">
        <v>33</v>
      </c>
      <c r="B67" s="26" t="s">
        <v>123</v>
      </c>
      <c r="C67" s="27">
        <v>267</v>
      </c>
      <c r="D67" s="25"/>
      <c r="E67" s="25"/>
      <c r="F67" s="106">
        <f t="shared" si="5"/>
        <v>-3.5</v>
      </c>
      <c r="G67" s="107">
        <f t="shared" si="11"/>
        <v>-0.9</v>
      </c>
      <c r="H67" s="107">
        <f t="shared" si="15"/>
        <v>-0.8</v>
      </c>
      <c r="I67" s="107">
        <f t="shared" si="15"/>
        <v>-0.9</v>
      </c>
      <c r="J67" s="107">
        <f t="shared" si="15"/>
        <v>-0.9</v>
      </c>
      <c r="K67" s="82"/>
      <c r="L67" s="81">
        <f t="shared" si="13"/>
        <v>3500</v>
      </c>
      <c r="M67" s="241">
        <v>900</v>
      </c>
      <c r="N67" s="241">
        <v>800</v>
      </c>
      <c r="O67" s="241">
        <v>900</v>
      </c>
      <c r="P67" s="241">
        <v>900</v>
      </c>
      <c r="Q67" s="44"/>
      <c r="S67" s="86">
        <f t="shared" si="14"/>
        <v>900</v>
      </c>
      <c r="T67" s="86">
        <f t="shared" si="14"/>
        <v>800</v>
      </c>
      <c r="U67" s="86">
        <f t="shared" si="14"/>
        <v>900</v>
      </c>
      <c r="V67" s="86">
        <f t="shared" si="14"/>
        <v>900</v>
      </c>
      <c r="Y67" s="130">
        <f t="shared" si="2"/>
        <v>3500</v>
      </c>
    </row>
    <row r="68" spans="1:25" s="30" customFormat="1" ht="18.75">
      <c r="A68" s="22">
        <v>34</v>
      </c>
      <c r="B68" s="23" t="s">
        <v>120</v>
      </c>
      <c r="C68" s="27">
        <v>268</v>
      </c>
      <c r="D68" s="25"/>
      <c r="E68" s="25"/>
      <c r="F68" s="106">
        <f t="shared" si="5"/>
        <v>-40</v>
      </c>
      <c r="G68" s="107">
        <f t="shared" si="11"/>
        <v>-11</v>
      </c>
      <c r="H68" s="107">
        <f t="shared" si="15"/>
        <v>-10</v>
      </c>
      <c r="I68" s="107">
        <f t="shared" si="15"/>
        <v>-9</v>
      </c>
      <c r="J68" s="107">
        <f t="shared" si="15"/>
        <v>-10</v>
      </c>
      <c r="K68" s="82"/>
      <c r="L68" s="81">
        <f t="shared" si="13"/>
        <v>40000</v>
      </c>
      <c r="M68" s="241">
        <v>11000</v>
      </c>
      <c r="N68" s="241">
        <v>10000</v>
      </c>
      <c r="O68" s="241">
        <v>9000</v>
      </c>
      <c r="P68" s="241">
        <v>10000</v>
      </c>
      <c r="Q68" s="44"/>
      <c r="S68" s="86">
        <f t="shared" si="14"/>
        <v>11000</v>
      </c>
      <c r="T68" s="86">
        <f t="shared" si="14"/>
        <v>10000</v>
      </c>
      <c r="U68" s="86">
        <f t="shared" si="14"/>
        <v>9000</v>
      </c>
      <c r="V68" s="86">
        <f t="shared" si="14"/>
        <v>10000</v>
      </c>
      <c r="Y68" s="130">
        <f t="shared" si="2"/>
        <v>40000</v>
      </c>
    </row>
    <row r="69" spans="1:25" s="30" customFormat="1" ht="21" customHeight="1">
      <c r="A69" s="22">
        <v>35</v>
      </c>
      <c r="B69" s="23" t="s">
        <v>130</v>
      </c>
      <c r="C69" s="27">
        <v>269</v>
      </c>
      <c r="D69" s="25"/>
      <c r="E69" s="25"/>
      <c r="F69" s="106">
        <f t="shared" si="5"/>
        <v>-20</v>
      </c>
      <c r="G69" s="107">
        <f t="shared" si="11"/>
        <v>-10</v>
      </c>
      <c r="H69" s="107">
        <f t="shared" si="15"/>
        <v>-5</v>
      </c>
      <c r="I69" s="107">
        <f t="shared" si="15"/>
        <v>0</v>
      </c>
      <c r="J69" s="107">
        <f t="shared" si="15"/>
        <v>-5</v>
      </c>
      <c r="K69" s="82"/>
      <c r="L69" s="81">
        <f t="shared" si="13"/>
        <v>20000</v>
      </c>
      <c r="M69" s="241">
        <v>10000</v>
      </c>
      <c r="N69" s="241">
        <v>5000</v>
      </c>
      <c r="O69" s="241">
        <v>0</v>
      </c>
      <c r="P69" s="241">
        <v>5000</v>
      </c>
      <c r="Q69" s="44"/>
      <c r="S69" s="86">
        <f t="shared" si="14"/>
        <v>10000</v>
      </c>
      <c r="T69" s="86">
        <f t="shared" si="14"/>
        <v>5000</v>
      </c>
      <c r="U69" s="86">
        <f t="shared" si="14"/>
        <v>0</v>
      </c>
      <c r="V69" s="86">
        <f t="shared" si="14"/>
        <v>5000</v>
      </c>
      <c r="Y69" s="130">
        <f t="shared" si="2"/>
        <v>20000</v>
      </c>
    </row>
    <row r="70" spans="1:25" s="30" customFormat="1" ht="18.75">
      <c r="A70" s="22">
        <v>36</v>
      </c>
      <c r="B70" s="23" t="s">
        <v>139</v>
      </c>
      <c r="C70" s="24">
        <v>270</v>
      </c>
      <c r="D70" s="25"/>
      <c r="E70" s="25"/>
      <c r="F70" s="106">
        <f>SUM(G70:J70)</f>
        <v>0</v>
      </c>
      <c r="G70" s="107">
        <f t="shared" si="11"/>
        <v>0</v>
      </c>
      <c r="H70" s="107">
        <f t="shared" si="15"/>
        <v>0</v>
      </c>
      <c r="I70" s="107">
        <f t="shared" si="15"/>
        <v>0</v>
      </c>
      <c r="J70" s="107">
        <f t="shared" si="15"/>
        <v>0</v>
      </c>
      <c r="K70" s="44"/>
      <c r="L70" s="79"/>
      <c r="M70" s="44"/>
      <c r="N70" s="44"/>
      <c r="O70" s="44"/>
      <c r="P70" s="44"/>
      <c r="Q70" s="44"/>
      <c r="S70" s="86">
        <f t="shared" si="14"/>
        <v>0</v>
      </c>
      <c r="T70" s="86">
        <f t="shared" si="14"/>
        <v>0</v>
      </c>
      <c r="U70" s="86">
        <f t="shared" si="14"/>
        <v>0</v>
      </c>
      <c r="V70" s="86">
        <f t="shared" si="14"/>
        <v>0</v>
      </c>
      <c r="Y70" s="130">
        <f t="shared" si="2"/>
        <v>0</v>
      </c>
    </row>
    <row r="71" spans="1:25" s="30" customFormat="1" ht="37.5">
      <c r="A71" s="22">
        <v>37</v>
      </c>
      <c r="B71" s="23" t="s">
        <v>203</v>
      </c>
      <c r="C71" s="24">
        <v>280</v>
      </c>
      <c r="D71" s="25"/>
      <c r="E71" s="25"/>
      <c r="F71" s="106">
        <f t="shared" si="5"/>
        <v>-2</v>
      </c>
      <c r="G71" s="107">
        <f t="shared" si="11"/>
        <v>-0.5</v>
      </c>
      <c r="H71" s="107">
        <f t="shared" si="15"/>
        <v>-0.5</v>
      </c>
      <c r="I71" s="107">
        <f t="shared" si="15"/>
        <v>-0.5</v>
      </c>
      <c r="J71" s="107">
        <f t="shared" si="15"/>
        <v>-0.5</v>
      </c>
      <c r="K71" s="82"/>
      <c r="L71" s="81">
        <f>M71+N71+O71+P71</f>
        <v>2000</v>
      </c>
      <c r="M71" s="241">
        <v>500</v>
      </c>
      <c r="N71" s="241">
        <v>500</v>
      </c>
      <c r="O71" s="241">
        <v>500</v>
      </c>
      <c r="P71" s="241">
        <v>500</v>
      </c>
      <c r="Q71" s="44"/>
      <c r="S71" s="86">
        <f t="shared" si="14"/>
        <v>500</v>
      </c>
      <c r="T71" s="86">
        <f t="shared" si="14"/>
        <v>500</v>
      </c>
      <c r="U71" s="86">
        <f t="shared" si="14"/>
        <v>500</v>
      </c>
      <c r="V71" s="86">
        <f t="shared" si="14"/>
        <v>500</v>
      </c>
      <c r="Y71" s="130">
        <f t="shared" si="2"/>
        <v>2000</v>
      </c>
    </row>
    <row r="72" spans="1:25" s="30" customFormat="1" ht="18.75">
      <c r="A72" s="22">
        <v>38</v>
      </c>
      <c r="B72" s="23" t="s">
        <v>140</v>
      </c>
      <c r="C72" s="24">
        <v>290</v>
      </c>
      <c r="D72" s="29"/>
      <c r="E72" s="29"/>
      <c r="F72" s="106">
        <f t="shared" si="5"/>
        <v>0</v>
      </c>
      <c r="G72" s="109">
        <f>SUM(G73:G74)</f>
        <v>0</v>
      </c>
      <c r="H72" s="109">
        <f>SUM(H73:H74)</f>
        <v>0</v>
      </c>
      <c r="I72" s="109">
        <f>SUM(I73:I74)</f>
        <v>0</v>
      </c>
      <c r="J72" s="109">
        <f>SUM(J73:J74)</f>
        <v>0</v>
      </c>
      <c r="K72" s="44"/>
      <c r="L72" s="79"/>
      <c r="M72" s="124" t="s">
        <v>318</v>
      </c>
      <c r="N72" s="44"/>
      <c r="O72" s="44"/>
      <c r="P72" s="44"/>
      <c r="Q72" s="44"/>
      <c r="S72" s="127">
        <f>S73+S74</f>
        <v>0</v>
      </c>
      <c r="T72" s="127">
        <f>T73+T74</f>
        <v>0</v>
      </c>
      <c r="U72" s="127">
        <f>U73+U74</f>
        <v>0</v>
      </c>
      <c r="V72" s="127">
        <f>V73+V74</f>
        <v>0</v>
      </c>
      <c r="Y72" s="130">
        <f t="shared" si="2"/>
        <v>0</v>
      </c>
    </row>
    <row r="73" spans="1:25" s="30" customFormat="1" ht="18.75">
      <c r="A73" s="22">
        <v>39</v>
      </c>
      <c r="B73" s="26" t="s">
        <v>141</v>
      </c>
      <c r="C73" s="32">
        <v>291</v>
      </c>
      <c r="D73" s="25"/>
      <c r="E73" s="25"/>
      <c r="F73" s="106">
        <f t="shared" si="5"/>
        <v>0</v>
      </c>
      <c r="G73" s="107">
        <v>0</v>
      </c>
      <c r="H73" s="107">
        <v>0</v>
      </c>
      <c r="I73" s="107">
        <v>0</v>
      </c>
      <c r="J73" s="107">
        <v>0</v>
      </c>
      <c r="K73" s="44"/>
      <c r="L73" s="79"/>
      <c r="M73" s="44"/>
      <c r="N73" s="44"/>
      <c r="O73" s="44"/>
      <c r="P73" s="44"/>
      <c r="Q73" s="44"/>
      <c r="S73" s="129">
        <f aca="true" t="shared" si="16" ref="S73:V76">M73</f>
        <v>0</v>
      </c>
      <c r="T73" s="129">
        <f t="shared" si="16"/>
        <v>0</v>
      </c>
      <c r="U73" s="129">
        <f t="shared" si="16"/>
        <v>0</v>
      </c>
      <c r="V73" s="129">
        <f t="shared" si="16"/>
        <v>0</v>
      </c>
      <c r="Y73" s="130">
        <f t="shared" si="2"/>
        <v>0</v>
      </c>
    </row>
    <row r="74" spans="1:25" s="30" customFormat="1" ht="18" customHeight="1">
      <c r="A74" s="22">
        <v>40</v>
      </c>
      <c r="B74" s="26" t="s">
        <v>142</v>
      </c>
      <c r="C74" s="32">
        <v>292</v>
      </c>
      <c r="D74" s="25"/>
      <c r="E74" s="25"/>
      <c r="F74" s="106">
        <f t="shared" si="5"/>
        <v>0</v>
      </c>
      <c r="G74" s="107">
        <v>0</v>
      </c>
      <c r="H74" s="107">
        <v>0</v>
      </c>
      <c r="I74" s="107">
        <v>0</v>
      </c>
      <c r="J74" s="107">
        <v>0</v>
      </c>
      <c r="K74" s="44"/>
      <c r="L74" s="79"/>
      <c r="M74" s="44"/>
      <c r="N74" s="44"/>
      <c r="O74" s="44"/>
      <c r="P74" s="44"/>
      <c r="Q74" s="44"/>
      <c r="S74" s="129">
        <f t="shared" si="16"/>
        <v>0</v>
      </c>
      <c r="T74" s="129">
        <f t="shared" si="16"/>
        <v>0</v>
      </c>
      <c r="U74" s="129">
        <f t="shared" si="16"/>
        <v>0</v>
      </c>
      <c r="V74" s="129">
        <f t="shared" si="16"/>
        <v>0</v>
      </c>
      <c r="Y74" s="130">
        <f t="shared" si="2"/>
        <v>0</v>
      </c>
    </row>
    <row r="75" spans="1:25" s="30" customFormat="1" ht="37.5">
      <c r="A75" s="22">
        <v>41</v>
      </c>
      <c r="B75" s="23" t="s">
        <v>143</v>
      </c>
      <c r="C75" s="14">
        <v>300</v>
      </c>
      <c r="D75" s="25"/>
      <c r="E75" s="25"/>
      <c r="F75" s="106">
        <f t="shared" si="5"/>
        <v>-15</v>
      </c>
      <c r="G75" s="107">
        <f>-M75/1000</f>
        <v>0</v>
      </c>
      <c r="H75" s="107">
        <f>-N75/1000</f>
        <v>0</v>
      </c>
      <c r="I75" s="107">
        <f>-O75/1000</f>
        <v>0</v>
      </c>
      <c r="J75" s="107">
        <f>-P75/1000</f>
        <v>-15</v>
      </c>
      <c r="K75" s="82"/>
      <c r="L75" s="81">
        <f>M75+N75+O75+P75</f>
        <v>15000</v>
      </c>
      <c r="M75" s="241"/>
      <c r="N75" s="241"/>
      <c r="O75" s="241"/>
      <c r="P75" s="241">
        <v>15000</v>
      </c>
      <c r="Q75" s="44"/>
      <c r="S75" s="129">
        <f t="shared" si="16"/>
        <v>0</v>
      </c>
      <c r="T75" s="129">
        <f t="shared" si="16"/>
        <v>0</v>
      </c>
      <c r="U75" s="129">
        <f t="shared" si="16"/>
        <v>0</v>
      </c>
      <c r="V75" s="129">
        <f t="shared" si="16"/>
        <v>15000</v>
      </c>
      <c r="Y75" s="130">
        <f t="shared" si="2"/>
        <v>15000</v>
      </c>
    </row>
    <row r="76" spans="1:25" s="30" customFormat="1" ht="18.75">
      <c r="A76" s="22">
        <v>42</v>
      </c>
      <c r="B76" s="33" t="s">
        <v>144</v>
      </c>
      <c r="C76" s="34"/>
      <c r="D76" s="34"/>
      <c r="E76" s="34"/>
      <c r="F76" s="34"/>
      <c r="G76" s="34"/>
      <c r="H76" s="34"/>
      <c r="I76" s="34"/>
      <c r="J76" s="35"/>
      <c r="K76" s="44"/>
      <c r="L76" s="79"/>
      <c r="M76" s="44"/>
      <c r="N76" s="44"/>
      <c r="O76" s="44"/>
      <c r="P76" s="44"/>
      <c r="Q76" s="44"/>
      <c r="S76" s="129">
        <f t="shared" si="16"/>
        <v>0</v>
      </c>
      <c r="T76" s="129">
        <f t="shared" si="16"/>
        <v>0</v>
      </c>
      <c r="U76" s="129">
        <f t="shared" si="16"/>
        <v>0</v>
      </c>
      <c r="V76" s="129">
        <f t="shared" si="16"/>
        <v>0</v>
      </c>
      <c r="Y76" s="130">
        <f t="shared" si="2"/>
        <v>0</v>
      </c>
    </row>
    <row r="77" spans="1:25" s="30" customFormat="1" ht="19.5" customHeight="1">
      <c r="A77" s="22">
        <v>43</v>
      </c>
      <c r="B77" s="23" t="s">
        <v>145</v>
      </c>
      <c r="C77" s="14">
        <v>310</v>
      </c>
      <c r="D77" s="25"/>
      <c r="E77" s="25"/>
      <c r="F77" s="106">
        <f aca="true" t="shared" si="17" ref="F77:F82">SUM(G77:J77)</f>
        <v>-3564.57179</v>
      </c>
      <c r="G77" s="107">
        <f>G42+G45+G46+G51+G54+G55+G56+G57</f>
        <v>-861.9</v>
      </c>
      <c r="H77" s="107">
        <f>H42+H45+H46+H51+H54+H55+H56+H57</f>
        <v>-926.2249999999999</v>
      </c>
      <c r="I77" s="107">
        <f>I42+I45+I46+I51+I54+I55+I56+I57</f>
        <v>-709.5967899999999</v>
      </c>
      <c r="J77" s="107">
        <f>J42+J45+J46+J51+J54+J55+J56+J57</f>
        <v>-1066.8500000000001</v>
      </c>
      <c r="K77" s="44"/>
      <c r="L77" s="79"/>
      <c r="M77" s="125" t="s">
        <v>313</v>
      </c>
      <c r="N77" s="44"/>
      <c r="O77" s="44"/>
      <c r="P77" s="44"/>
      <c r="Q77" s="44"/>
      <c r="S77" s="123">
        <f>S42+S45+S46+S51+S54+S55+S56+S57</f>
        <v>861900</v>
      </c>
      <c r="T77" s="123">
        <f>T42+T45+T46+T51+T54+T55+T56+T57</f>
        <v>926225</v>
      </c>
      <c r="U77" s="123">
        <f>U42+U45+U46+U51+U54+U55+U56+U57</f>
        <v>709596.79</v>
      </c>
      <c r="V77" s="123">
        <f>V42+V45+V46+V51+V54+V55+V56+V57</f>
        <v>1066850</v>
      </c>
      <c r="Y77" s="130">
        <f t="shared" si="2"/>
        <v>3564571.79</v>
      </c>
    </row>
    <row r="78" spans="1:25" s="30" customFormat="1" ht="18.75">
      <c r="A78" s="22">
        <v>44</v>
      </c>
      <c r="B78" s="23" t="s">
        <v>127</v>
      </c>
      <c r="C78" s="14">
        <v>320</v>
      </c>
      <c r="D78" s="25"/>
      <c r="E78" s="25"/>
      <c r="F78" s="106">
        <f t="shared" si="17"/>
        <v>-25458.83781</v>
      </c>
      <c r="G78" s="107">
        <f>G52+G64</f>
        <v>-6551.26648</v>
      </c>
      <c r="H78" s="107">
        <f aca="true" t="shared" si="18" ref="H78:J79">H52+H64</f>
        <v>-6323.15642</v>
      </c>
      <c r="I78" s="107">
        <f t="shared" si="18"/>
        <v>-6291.925260000001</v>
      </c>
      <c r="J78" s="107">
        <f t="shared" si="18"/>
        <v>-6292.48965</v>
      </c>
      <c r="K78" s="44"/>
      <c r="M78" s="124" t="s">
        <v>319</v>
      </c>
      <c r="Q78" s="44"/>
      <c r="S78" s="126">
        <f aca="true" t="shared" si="19" ref="S78:V79">S52+S64</f>
        <v>6551266.48</v>
      </c>
      <c r="T78" s="126">
        <f t="shared" si="19"/>
        <v>6323156.420000001</v>
      </c>
      <c r="U78" s="126">
        <f t="shared" si="19"/>
        <v>6291925.260000001</v>
      </c>
      <c r="V78" s="126">
        <f t="shared" si="19"/>
        <v>6292489.65</v>
      </c>
      <c r="Y78" s="130">
        <f t="shared" si="2"/>
        <v>25458837.810000002</v>
      </c>
    </row>
    <row r="79" spans="1:25" s="30" customFormat="1" ht="18.75">
      <c r="A79" s="22">
        <v>45</v>
      </c>
      <c r="B79" s="23" t="s">
        <v>128</v>
      </c>
      <c r="C79" s="14">
        <v>330</v>
      </c>
      <c r="D79" s="25"/>
      <c r="E79" s="25"/>
      <c r="F79" s="106">
        <f t="shared" si="17"/>
        <v>-5562.544</v>
      </c>
      <c r="G79" s="107">
        <f>G53+G65</f>
        <v>-1431.6787000000002</v>
      </c>
      <c r="H79" s="107">
        <f t="shared" si="18"/>
        <v>-1381.4947599999998</v>
      </c>
      <c r="I79" s="107">
        <f t="shared" si="18"/>
        <v>-1374.62356</v>
      </c>
      <c r="J79" s="107">
        <f t="shared" si="18"/>
        <v>-1374.7469800000003</v>
      </c>
      <c r="K79" s="44"/>
      <c r="L79" s="79"/>
      <c r="M79" s="124" t="s">
        <v>320</v>
      </c>
      <c r="N79" s="44"/>
      <c r="O79" s="44"/>
      <c r="P79" s="44"/>
      <c r="Q79" s="44"/>
      <c r="S79" s="126">
        <f t="shared" si="19"/>
        <v>1431678.7000000002</v>
      </c>
      <c r="T79" s="126">
        <f t="shared" si="19"/>
        <v>1381494.76</v>
      </c>
      <c r="U79" s="126">
        <f t="shared" si="19"/>
        <v>1374623.56</v>
      </c>
      <c r="V79" s="126">
        <f t="shared" si="19"/>
        <v>1374746.9800000002</v>
      </c>
      <c r="Y79" s="130">
        <f t="shared" si="2"/>
        <v>5562544</v>
      </c>
    </row>
    <row r="80" spans="1:25" s="30" customFormat="1" ht="18.75">
      <c r="A80" s="22">
        <v>46</v>
      </c>
      <c r="B80" s="23" t="s">
        <v>132</v>
      </c>
      <c r="C80" s="14">
        <v>340</v>
      </c>
      <c r="D80" s="25"/>
      <c r="E80" s="25"/>
      <c r="F80" s="106">
        <f t="shared" si="17"/>
        <v>0</v>
      </c>
      <c r="G80" s="107">
        <f>G58+G70</f>
        <v>0</v>
      </c>
      <c r="H80" s="107">
        <f>H58+H70</f>
        <v>0</v>
      </c>
      <c r="I80" s="107">
        <f>I58+I70</f>
        <v>0</v>
      </c>
      <c r="J80" s="107">
        <f>J58+J70</f>
        <v>0</v>
      </c>
      <c r="K80" s="44"/>
      <c r="L80" s="79"/>
      <c r="M80" s="124" t="s">
        <v>321</v>
      </c>
      <c r="N80" s="44"/>
      <c r="O80" s="44"/>
      <c r="P80" s="44"/>
      <c r="Q80" s="44"/>
      <c r="S80" s="127">
        <f>S58+S70</f>
        <v>0</v>
      </c>
      <c r="T80" s="127">
        <f>T58+T70</f>
        <v>0</v>
      </c>
      <c r="U80" s="127">
        <f>U58+U70</f>
        <v>0</v>
      </c>
      <c r="V80" s="127">
        <f>V58+V70</f>
        <v>0</v>
      </c>
      <c r="Y80" s="130">
        <f t="shared" si="2"/>
        <v>0</v>
      </c>
    </row>
    <row r="81" spans="1:25" s="30" customFormat="1" ht="18" customHeight="1">
      <c r="A81" s="22">
        <v>47</v>
      </c>
      <c r="B81" s="23" t="s">
        <v>146</v>
      </c>
      <c r="C81" s="14">
        <v>350</v>
      </c>
      <c r="D81" s="25"/>
      <c r="E81" s="25"/>
      <c r="F81" s="106">
        <f t="shared" si="17"/>
        <v>-499.5</v>
      </c>
      <c r="G81" s="107">
        <f>G59+G61+G62+G63+G66+G67+G68+G69+G71+G75</f>
        <v>-179.6</v>
      </c>
      <c r="H81" s="107">
        <f>H59+H61+H62+H63+H66+H67+H68+H69+H71+H75</f>
        <v>-112.89999999999999</v>
      </c>
      <c r="I81" s="107">
        <f>I59+I61+I62+I63+I66+I67+I68+I69+I71+I75</f>
        <v>-74.4</v>
      </c>
      <c r="J81" s="107">
        <f>J59+J61+J62+J63+J66+J67+J68+J69+J71+J75</f>
        <v>-132.60000000000002</v>
      </c>
      <c r="K81" s="44"/>
      <c r="L81" s="79"/>
      <c r="M81" s="124" t="s">
        <v>322</v>
      </c>
      <c r="N81" s="44"/>
      <c r="O81" s="44"/>
      <c r="P81" s="44"/>
      <c r="Q81" s="44"/>
      <c r="S81" s="126">
        <f>S59+S61+S62+S63+S66+S67+S68+S69+S71+S75</f>
        <v>179600</v>
      </c>
      <c r="T81" s="126">
        <f>T59+T61+T62+T63+T66+T67+T68+T69+T71+T75</f>
        <v>112900</v>
      </c>
      <c r="U81" s="126">
        <f>U59+U61+U62+U63+U66+U67+U68+U69+U71+U75</f>
        <v>74400</v>
      </c>
      <c r="V81" s="126">
        <f>V59+V61+V62+V63+V66+V67+V68+V69+V71+V75</f>
        <v>132600</v>
      </c>
      <c r="Y81" s="130">
        <f t="shared" si="2"/>
        <v>499500</v>
      </c>
    </row>
    <row r="82" spans="1:25" s="30" customFormat="1" ht="18.75">
      <c r="A82" s="22">
        <v>48</v>
      </c>
      <c r="B82" s="23" t="s">
        <v>147</v>
      </c>
      <c r="C82" s="14">
        <v>360</v>
      </c>
      <c r="D82" s="25"/>
      <c r="E82" s="25"/>
      <c r="F82" s="108">
        <f t="shared" si="17"/>
        <v>-35085.4536</v>
      </c>
      <c r="G82" s="107">
        <f>SUM(G77:G81)</f>
        <v>-9024.44518</v>
      </c>
      <c r="H82" s="107">
        <f>SUM(H77:H81)</f>
        <v>-8743.776179999999</v>
      </c>
      <c r="I82" s="107">
        <f>SUM(I77:I81)</f>
        <v>-8450.54561</v>
      </c>
      <c r="J82" s="107">
        <f>SUM(J77:J81)</f>
        <v>-8866.686630000002</v>
      </c>
      <c r="K82" s="44"/>
      <c r="L82" s="121">
        <f>SUM(L43:L77)</f>
        <v>35085453.6</v>
      </c>
      <c r="M82" s="121">
        <f>SUM(M43:M77)</f>
        <v>9024445.18</v>
      </c>
      <c r="N82" s="121">
        <f>SUM(N43:N77)</f>
        <v>8743776.18</v>
      </c>
      <c r="O82" s="121">
        <f>SUM(O43:O77)</f>
        <v>8450545.61</v>
      </c>
      <c r="P82" s="121">
        <f>SUM(P43:P77)</f>
        <v>8866686.63</v>
      </c>
      <c r="Q82" s="44"/>
      <c r="S82" s="123">
        <f>SUM(S77:S81)</f>
        <v>9024445.18</v>
      </c>
      <c r="T82" s="123">
        <f>SUM(T77:T81)</f>
        <v>8743776.180000002</v>
      </c>
      <c r="U82" s="123">
        <f>SUM(U77:U81)</f>
        <v>8450545.610000001</v>
      </c>
      <c r="V82" s="123">
        <f>SUM(V77:V81)</f>
        <v>8866686.63</v>
      </c>
      <c r="Y82" s="130">
        <f t="shared" si="2"/>
        <v>35085453.6</v>
      </c>
    </row>
    <row r="83" spans="1:17" s="30" customFormat="1" ht="18.75">
      <c r="A83" s="22">
        <v>49</v>
      </c>
      <c r="B83" s="33" t="s">
        <v>148</v>
      </c>
      <c r="C83" s="34"/>
      <c r="D83" s="34"/>
      <c r="E83" s="34"/>
      <c r="F83" s="112"/>
      <c r="G83" s="112"/>
      <c r="H83" s="112"/>
      <c r="I83" s="112"/>
      <c r="J83" s="113"/>
      <c r="K83" s="44"/>
      <c r="L83" s="79"/>
      <c r="M83" s="44"/>
      <c r="N83" s="44"/>
      <c r="O83" s="44"/>
      <c r="P83" s="44"/>
      <c r="Q83" s="44"/>
    </row>
    <row r="84" spans="1:17" s="30" customFormat="1" ht="18.75">
      <c r="A84" s="22">
        <v>50</v>
      </c>
      <c r="B84" s="23" t="s">
        <v>149</v>
      </c>
      <c r="C84" s="14">
        <v>370</v>
      </c>
      <c r="D84" s="29"/>
      <c r="E84" s="29"/>
      <c r="F84" s="108">
        <f>SUM(G84:J84)</f>
        <v>-602</v>
      </c>
      <c r="G84" s="109">
        <f>SUM(G85)</f>
        <v>-20.88781</v>
      </c>
      <c r="H84" s="109">
        <f>SUM(H85)</f>
        <v>-200</v>
      </c>
      <c r="I84" s="109">
        <f>SUM(I85)</f>
        <v>-200</v>
      </c>
      <c r="J84" s="109">
        <f>SUM(J85)</f>
        <v>-181.11219</v>
      </c>
      <c r="K84" s="44"/>
      <c r="L84" s="79"/>
      <c r="M84" s="44"/>
      <c r="N84" s="44"/>
      <c r="O84" s="44"/>
      <c r="P84" s="44"/>
      <c r="Q84" s="44"/>
    </row>
    <row r="85" spans="1:17" s="30" customFormat="1" ht="56.25">
      <c r="A85" s="22">
        <v>51</v>
      </c>
      <c r="B85" s="23" t="s">
        <v>308</v>
      </c>
      <c r="C85" s="32">
        <v>371</v>
      </c>
      <c r="D85" s="25"/>
      <c r="E85" s="25"/>
      <c r="F85" s="106">
        <f>SUM(G85:J85)</f>
        <v>-602</v>
      </c>
      <c r="G85" s="107">
        <f>-M85/1000</f>
        <v>-20.88781</v>
      </c>
      <c r="H85" s="107">
        <f>-N85/1000</f>
        <v>-200</v>
      </c>
      <c r="I85" s="107">
        <f>-O85/1000</f>
        <v>-200</v>
      </c>
      <c r="J85" s="107">
        <f>-P85/1000</f>
        <v>-181.11219</v>
      </c>
      <c r="K85" s="82"/>
      <c r="L85" s="81">
        <f>M85+N85+O85+P85</f>
        <v>602000</v>
      </c>
      <c r="M85" s="241">
        <f>15223.17+5664.64</f>
        <v>20887.81</v>
      </c>
      <c r="N85" s="241">
        <f>100000+100000</f>
        <v>200000</v>
      </c>
      <c r="O85" s="241">
        <f>100000+100000</f>
        <v>200000</v>
      </c>
      <c r="P85" s="241">
        <f>179112.19+2000</f>
        <v>181112.19</v>
      </c>
      <c r="Q85" s="44"/>
    </row>
    <row r="86" spans="1:17" s="30" customFormat="1" ht="18.75">
      <c r="A86" s="22">
        <v>52</v>
      </c>
      <c r="B86" s="21" t="s">
        <v>150</v>
      </c>
      <c r="C86" s="36">
        <v>380</v>
      </c>
      <c r="D86" s="37">
        <f>SUM(D87:D92)</f>
        <v>0</v>
      </c>
      <c r="E86" s="37">
        <f>SUM(E87:E92)</f>
        <v>0</v>
      </c>
      <c r="F86" s="108">
        <f aca="true" t="shared" si="20" ref="F86:F92">SUM(G86:J86)</f>
        <v>-1330</v>
      </c>
      <c r="G86" s="108">
        <f>SUM(G87:G92)</f>
        <v>-1108</v>
      </c>
      <c r="H86" s="108">
        <f>SUM(H87:H92)</f>
        <v>-22</v>
      </c>
      <c r="I86" s="108">
        <f>SUM(I87:I92)</f>
        <v>-200</v>
      </c>
      <c r="J86" s="108">
        <f>SUM(J87:J92)</f>
        <v>0</v>
      </c>
      <c r="K86" s="44"/>
      <c r="L86" s="87"/>
      <c r="M86" s="80"/>
      <c r="N86" s="80"/>
      <c r="O86" s="80"/>
      <c r="P86" s="80"/>
      <c r="Q86" s="44"/>
    </row>
    <row r="87" spans="1:17" s="30" customFormat="1" ht="18.75">
      <c r="A87" s="22">
        <v>53</v>
      </c>
      <c r="B87" s="23" t="s">
        <v>151</v>
      </c>
      <c r="C87" s="38">
        <v>381</v>
      </c>
      <c r="D87" s="25"/>
      <c r="E87" s="25"/>
      <c r="F87" s="107">
        <f t="shared" si="20"/>
        <v>0</v>
      </c>
      <c r="G87" s="107"/>
      <c r="H87" s="107"/>
      <c r="I87" s="107"/>
      <c r="J87" s="107"/>
      <c r="K87" s="44"/>
      <c r="L87" s="87"/>
      <c r="M87" s="80"/>
      <c r="N87" s="80"/>
      <c r="O87" s="80"/>
      <c r="P87" s="80"/>
      <c r="Q87" s="44"/>
    </row>
    <row r="88" spans="1:17" s="30" customFormat="1" ht="18.75">
      <c r="A88" s="22">
        <v>54</v>
      </c>
      <c r="B88" s="23" t="s">
        <v>152</v>
      </c>
      <c r="C88" s="39">
        <v>382</v>
      </c>
      <c r="D88" s="25"/>
      <c r="E88" s="25"/>
      <c r="F88" s="107">
        <f t="shared" si="20"/>
        <v>-1330</v>
      </c>
      <c r="G88" s="107">
        <f>-M88/1000</f>
        <v>-1108</v>
      </c>
      <c r="H88" s="107">
        <f>-N88/1000</f>
        <v>-22</v>
      </c>
      <c r="I88" s="107">
        <f>-O88/1000</f>
        <v>-200</v>
      </c>
      <c r="J88" s="107">
        <f>-P88/1000</f>
        <v>0</v>
      </c>
      <c r="K88" s="44"/>
      <c r="L88" s="81">
        <f>M88+N88+O88+P88</f>
        <v>1330000</v>
      </c>
      <c r="M88" s="241">
        <f>108000+1000000</f>
        <v>1108000</v>
      </c>
      <c r="N88" s="241">
        <v>22000</v>
      </c>
      <c r="O88" s="241">
        <v>200000</v>
      </c>
      <c r="P88" s="241"/>
      <c r="Q88" s="44"/>
    </row>
    <row r="89" spans="1:17" s="30" customFormat="1" ht="35.25" customHeight="1">
      <c r="A89" s="22">
        <v>55</v>
      </c>
      <c r="B89" s="23" t="s">
        <v>153</v>
      </c>
      <c r="C89" s="38">
        <v>383</v>
      </c>
      <c r="D89" s="25"/>
      <c r="E89" s="25"/>
      <c r="F89" s="107">
        <f t="shared" si="20"/>
        <v>0</v>
      </c>
      <c r="G89" s="107"/>
      <c r="H89" s="107"/>
      <c r="I89" s="107"/>
      <c r="J89" s="107"/>
      <c r="K89" s="44"/>
      <c r="L89" s="87"/>
      <c r="M89" s="80"/>
      <c r="N89" s="80"/>
      <c r="O89" s="80"/>
      <c r="P89" s="80"/>
      <c r="Q89" s="44"/>
    </row>
    <row r="90" spans="1:17" s="30" customFormat="1" ht="18.75">
      <c r="A90" s="22">
        <v>56</v>
      </c>
      <c r="B90" s="23" t="s">
        <v>154</v>
      </c>
      <c r="C90" s="39">
        <v>384</v>
      </c>
      <c r="D90" s="25"/>
      <c r="E90" s="25"/>
      <c r="F90" s="107">
        <f t="shared" si="20"/>
        <v>0</v>
      </c>
      <c r="G90" s="107"/>
      <c r="H90" s="107"/>
      <c r="I90" s="107"/>
      <c r="J90" s="107"/>
      <c r="K90" s="44"/>
      <c r="L90" s="87"/>
      <c r="M90" s="80"/>
      <c r="N90" s="80"/>
      <c r="O90" s="80"/>
      <c r="P90" s="80"/>
      <c r="Q90" s="44"/>
    </row>
    <row r="91" spans="1:17" s="30" customFormat="1" ht="36.75" customHeight="1">
      <c r="A91" s="22">
        <v>57</v>
      </c>
      <c r="B91" s="23" t="s">
        <v>155</v>
      </c>
      <c r="C91" s="39">
        <v>385</v>
      </c>
      <c r="D91" s="25"/>
      <c r="E91" s="25"/>
      <c r="F91" s="107">
        <f t="shared" si="20"/>
        <v>0</v>
      </c>
      <c r="G91" s="107"/>
      <c r="H91" s="107"/>
      <c r="I91" s="107"/>
      <c r="J91" s="107"/>
      <c r="K91" s="44"/>
      <c r="L91" s="87"/>
      <c r="M91" s="80"/>
      <c r="N91" s="80"/>
      <c r="O91" s="80"/>
      <c r="P91" s="80"/>
      <c r="Q91" s="44"/>
    </row>
    <row r="92" spans="1:18" s="30" customFormat="1" ht="18" customHeight="1">
      <c r="A92" s="22">
        <v>58</v>
      </c>
      <c r="B92" s="23" t="s">
        <v>156</v>
      </c>
      <c r="C92" s="38">
        <v>386</v>
      </c>
      <c r="D92" s="25"/>
      <c r="E92" s="25"/>
      <c r="F92" s="107">
        <f t="shared" si="20"/>
        <v>0</v>
      </c>
      <c r="G92" s="107">
        <v>0</v>
      </c>
      <c r="H92" s="107">
        <v>0</v>
      </c>
      <c r="I92" s="107">
        <v>0</v>
      </c>
      <c r="J92" s="107">
        <v>0</v>
      </c>
      <c r="K92" s="44" t="s">
        <v>352</v>
      </c>
      <c r="L92" s="87">
        <f>M92+N92+O92+P92</f>
        <v>0</v>
      </c>
      <c r="M92" s="80"/>
      <c r="N92" s="94"/>
      <c r="O92" s="80"/>
      <c r="P92" s="80"/>
      <c r="Q92" s="10"/>
      <c r="R92" s="10"/>
    </row>
    <row r="93" spans="1:18" s="30" customFormat="1" ht="18.75">
      <c r="A93" s="22">
        <v>59</v>
      </c>
      <c r="B93" s="33" t="s">
        <v>157</v>
      </c>
      <c r="C93" s="34"/>
      <c r="D93" s="34"/>
      <c r="E93" s="34"/>
      <c r="F93" s="34"/>
      <c r="G93" s="34"/>
      <c r="H93" s="34"/>
      <c r="I93" s="34"/>
      <c r="J93" s="35"/>
      <c r="K93" s="44" t="s">
        <v>310</v>
      </c>
      <c r="L93" s="91">
        <f>SUM(L43:L92)-L82</f>
        <v>37017453.6</v>
      </c>
      <c r="M93" s="90">
        <f>SUM(M43:M92)-M82</f>
        <v>10153332.989999998</v>
      </c>
      <c r="N93" s="90">
        <f>SUM(N43:N92)-N82</f>
        <v>8965776.18</v>
      </c>
      <c r="O93" s="90">
        <f>SUM(O43:O92)-O82</f>
        <v>8850545.61</v>
      </c>
      <c r="P93" s="90">
        <f>SUM(P43:P92)-P82</f>
        <v>9047798.820000002</v>
      </c>
      <c r="Q93" s="10"/>
      <c r="R93" s="10"/>
    </row>
    <row r="94" spans="1:18" s="30" customFormat="1" ht="18.75">
      <c r="A94" s="22">
        <v>60</v>
      </c>
      <c r="B94" s="23" t="s">
        <v>158</v>
      </c>
      <c r="C94" s="40">
        <v>390</v>
      </c>
      <c r="D94" s="29">
        <f>SUM(D95:D98)</f>
        <v>0</v>
      </c>
      <c r="E94" s="29">
        <f>SUM(E95:E98)</f>
        <v>0</v>
      </c>
      <c r="F94" s="109">
        <f aca="true" t="shared" si="21" ref="F94:F103">SUM(G94:J94)</f>
        <v>187.494</v>
      </c>
      <c r="G94" s="109">
        <f>SUM(G95:G98)</f>
        <v>175.494</v>
      </c>
      <c r="H94" s="109">
        <f>SUM(H95:H98)</f>
        <v>4</v>
      </c>
      <c r="I94" s="109">
        <f>SUM(I95:I98)</f>
        <v>4</v>
      </c>
      <c r="J94" s="109">
        <f>SUM(J95:J98)</f>
        <v>4</v>
      </c>
      <c r="K94" s="44" t="s">
        <v>311</v>
      </c>
      <c r="L94" s="91">
        <f>M94+N94+O94+P94</f>
        <v>35688381.81</v>
      </c>
      <c r="M94" s="91">
        <f>8406951.18+20887.81+172494+3000+M40</f>
        <v>9153332.99</v>
      </c>
      <c r="N94" s="91">
        <f>8406951.18+4000+N40</f>
        <v>8781951.18</v>
      </c>
      <c r="O94" s="91">
        <f>8418048.82+4000+O40</f>
        <v>8627048.82</v>
      </c>
      <c r="P94" s="91">
        <f>8418048.82+4000+P40</f>
        <v>9126048.82</v>
      </c>
      <c r="Q94" s="89"/>
      <c r="R94" s="10"/>
    </row>
    <row r="95" spans="1:18" s="30" customFormat="1" ht="18.75">
      <c r="A95" s="22">
        <v>61</v>
      </c>
      <c r="B95" s="26" t="s">
        <v>307</v>
      </c>
      <c r="C95" s="41">
        <v>391</v>
      </c>
      <c r="D95" s="25"/>
      <c r="E95" s="25"/>
      <c r="F95" s="107">
        <f t="shared" si="21"/>
        <v>0</v>
      </c>
      <c r="G95" s="107"/>
      <c r="H95" s="107"/>
      <c r="I95" s="107"/>
      <c r="J95" s="107"/>
      <c r="K95" s="44" t="s">
        <v>312</v>
      </c>
      <c r="L95" s="91">
        <f>L94-L93</f>
        <v>-1329071.789999999</v>
      </c>
      <c r="M95" s="93">
        <f>M94-M93</f>
        <v>-999999.9999999981</v>
      </c>
      <c r="N95" s="92">
        <f>N94-N93</f>
        <v>-183825</v>
      </c>
      <c r="O95" s="93">
        <f>O94-O93</f>
        <v>-223496.7899999991</v>
      </c>
      <c r="P95" s="92">
        <f>P94-P93</f>
        <v>78249.99999999814</v>
      </c>
      <c r="Q95" s="89"/>
      <c r="R95" s="10"/>
    </row>
    <row r="96" spans="1:18" s="30" customFormat="1" ht="18.75">
      <c r="A96" s="22">
        <v>62</v>
      </c>
      <c r="B96" s="26" t="s">
        <v>353</v>
      </c>
      <c r="C96" s="41">
        <v>392</v>
      </c>
      <c r="D96" s="25"/>
      <c r="E96" s="25"/>
      <c r="F96" s="107">
        <f t="shared" si="21"/>
        <v>172.494</v>
      </c>
      <c r="G96" s="107">
        <f aca="true" t="shared" si="22" ref="G96:J97">M96/1000</f>
        <v>172.494</v>
      </c>
      <c r="H96" s="107">
        <f t="shared" si="22"/>
        <v>0</v>
      </c>
      <c r="I96" s="107">
        <f t="shared" si="22"/>
        <v>0</v>
      </c>
      <c r="J96" s="107">
        <f t="shared" si="22"/>
        <v>0</v>
      </c>
      <c r="K96" s="82"/>
      <c r="L96" s="81">
        <f>M96+N96+O96+P96</f>
        <v>172494</v>
      </c>
      <c r="M96" s="241">
        <v>172494</v>
      </c>
      <c r="N96" s="241"/>
      <c r="O96" s="241"/>
      <c r="P96" s="241"/>
      <c r="Q96" s="89"/>
      <c r="R96" s="10"/>
    </row>
    <row r="97" spans="1:18" s="30" customFormat="1" ht="18.75">
      <c r="A97" s="22">
        <v>63</v>
      </c>
      <c r="B97" s="26" t="s">
        <v>161</v>
      </c>
      <c r="C97" s="41">
        <v>393</v>
      </c>
      <c r="D97" s="25"/>
      <c r="E97" s="25"/>
      <c r="F97" s="107">
        <f t="shared" si="21"/>
        <v>15</v>
      </c>
      <c r="G97" s="107">
        <f t="shared" si="22"/>
        <v>3</v>
      </c>
      <c r="H97" s="107">
        <f t="shared" si="22"/>
        <v>4</v>
      </c>
      <c r="I97" s="107">
        <f t="shared" si="22"/>
        <v>4</v>
      </c>
      <c r="J97" s="107">
        <f t="shared" si="22"/>
        <v>4</v>
      </c>
      <c r="K97" s="82"/>
      <c r="L97" s="81">
        <f>M97+N97+O97+P97</f>
        <v>15000</v>
      </c>
      <c r="M97" s="241">
        <v>3000</v>
      </c>
      <c r="N97" s="241">
        <v>4000</v>
      </c>
      <c r="O97" s="241">
        <v>4000</v>
      </c>
      <c r="P97" s="241">
        <v>4000</v>
      </c>
      <c r="Q97" s="89"/>
      <c r="R97" s="10"/>
    </row>
    <row r="98" spans="1:18" s="30" customFormat="1" ht="18.75">
      <c r="A98" s="22">
        <v>64</v>
      </c>
      <c r="B98" s="23" t="s">
        <v>424</v>
      </c>
      <c r="C98" s="40">
        <v>400</v>
      </c>
      <c r="D98" s="25"/>
      <c r="E98" s="25"/>
      <c r="F98" s="107">
        <f t="shared" si="21"/>
        <v>0</v>
      </c>
      <c r="G98" s="107">
        <v>0</v>
      </c>
      <c r="H98" s="107">
        <v>0</v>
      </c>
      <c r="I98" s="107">
        <v>0</v>
      </c>
      <c r="J98" s="107"/>
      <c r="K98" s="44"/>
      <c r="L98" s="88"/>
      <c r="M98" s="88"/>
      <c r="N98" s="88"/>
      <c r="O98" s="88"/>
      <c r="P98" s="88"/>
      <c r="Q98" s="89"/>
      <c r="R98" s="10"/>
    </row>
    <row r="99" spans="1:18" s="30" customFormat="1" ht="22.5" customHeight="1">
      <c r="A99" s="22">
        <v>65</v>
      </c>
      <c r="B99" s="23" t="s">
        <v>162</v>
      </c>
      <c r="C99" s="40">
        <v>410</v>
      </c>
      <c r="D99" s="29">
        <f>SUM(D100:D103)</f>
        <v>0</v>
      </c>
      <c r="E99" s="29">
        <f>SUM(E100:E103)</f>
        <v>0</v>
      </c>
      <c r="F99" s="109">
        <f t="shared" si="21"/>
        <v>0</v>
      </c>
      <c r="G99" s="109">
        <f>SUM(G100:G103)</f>
        <v>0</v>
      </c>
      <c r="H99" s="109">
        <f>SUM(H100:H103)</f>
        <v>0</v>
      </c>
      <c r="I99" s="109">
        <f>SUM(I100:I103)</f>
        <v>0</v>
      </c>
      <c r="J99" s="109">
        <f>SUM(J100:J103)</f>
        <v>0</v>
      </c>
      <c r="K99" s="44"/>
      <c r="L99" s="171" t="s">
        <v>288</v>
      </c>
      <c r="M99" s="2" t="s">
        <v>289</v>
      </c>
      <c r="N99" s="2" t="s">
        <v>290</v>
      </c>
      <c r="O99" s="10"/>
      <c r="P99" s="10"/>
      <c r="Q99" s="10"/>
      <c r="R99" s="10"/>
    </row>
    <row r="100" spans="1:18" s="30" customFormat="1" ht="18.75">
      <c r="A100" s="22">
        <v>66</v>
      </c>
      <c r="B100" s="26" t="s">
        <v>159</v>
      </c>
      <c r="C100" s="41">
        <v>411</v>
      </c>
      <c r="D100" s="25"/>
      <c r="E100" s="25"/>
      <c r="F100" s="107">
        <f t="shared" si="21"/>
        <v>0</v>
      </c>
      <c r="G100" s="107"/>
      <c r="H100" s="107"/>
      <c r="I100" s="107"/>
      <c r="J100" s="107"/>
      <c r="K100" s="44"/>
      <c r="L100" s="182">
        <v>1486391.61</v>
      </c>
      <c r="M100" s="83">
        <f>L100+E95-E101</f>
        <v>1486391.61</v>
      </c>
      <c r="N100" s="83">
        <f>M100+F95-F101</f>
        <v>1486391.61</v>
      </c>
      <c r="O100" s="10"/>
      <c r="P100" s="10"/>
      <c r="Q100" s="10"/>
      <c r="R100" s="10"/>
    </row>
    <row r="101" spans="1:18" s="30" customFormat="1" ht="18.75">
      <c r="A101" s="22">
        <v>67</v>
      </c>
      <c r="B101" s="26" t="s">
        <v>160</v>
      </c>
      <c r="C101" s="41">
        <v>412</v>
      </c>
      <c r="D101" s="25"/>
      <c r="E101" s="25"/>
      <c r="F101" s="107">
        <f t="shared" si="21"/>
        <v>0</v>
      </c>
      <c r="G101" s="107"/>
      <c r="H101" s="107"/>
      <c r="I101" s="107"/>
      <c r="J101" s="107"/>
      <c r="K101" s="44"/>
      <c r="L101" s="89"/>
      <c r="M101" s="10"/>
      <c r="N101" s="10"/>
      <c r="O101" s="10"/>
      <c r="P101" s="10"/>
      <c r="Q101" s="10"/>
      <c r="R101" s="10"/>
    </row>
    <row r="102" spans="1:18" s="30" customFormat="1" ht="18.75">
      <c r="A102" s="22">
        <v>68</v>
      </c>
      <c r="B102" s="26" t="s">
        <v>161</v>
      </c>
      <c r="C102" s="41">
        <v>413</v>
      </c>
      <c r="D102" s="25"/>
      <c r="E102" s="25"/>
      <c r="F102" s="107">
        <f t="shared" si="21"/>
        <v>0</v>
      </c>
      <c r="G102" s="107"/>
      <c r="H102" s="107"/>
      <c r="I102" s="107"/>
      <c r="J102" s="107"/>
      <c r="K102" s="44"/>
      <c r="L102" s="89" t="s">
        <v>435</v>
      </c>
      <c r="M102" s="10"/>
      <c r="N102" s="10"/>
      <c r="O102" s="10"/>
      <c r="P102" s="10"/>
      <c r="Q102" s="10"/>
      <c r="R102" s="10"/>
    </row>
    <row r="103" spans="1:18" s="30" customFormat="1" ht="18.75">
      <c r="A103" s="22">
        <v>69</v>
      </c>
      <c r="B103" s="23" t="s">
        <v>133</v>
      </c>
      <c r="C103" s="40">
        <v>420</v>
      </c>
      <c r="D103" s="25"/>
      <c r="E103" s="25"/>
      <c r="F103" s="107">
        <f t="shared" si="21"/>
        <v>0</v>
      </c>
      <c r="G103" s="107"/>
      <c r="H103" s="107"/>
      <c r="I103" s="107"/>
      <c r="J103" s="107"/>
      <c r="K103" s="44"/>
      <c r="L103" s="89" t="s">
        <v>436</v>
      </c>
      <c r="M103" s="10"/>
      <c r="N103" s="10"/>
      <c r="O103" s="10"/>
      <c r="P103" s="10"/>
      <c r="Q103" s="10"/>
      <c r="R103" s="10"/>
    </row>
    <row r="104" spans="1:25" ht="18.75">
      <c r="A104" s="22">
        <v>70</v>
      </c>
      <c r="B104" s="21" t="s">
        <v>163</v>
      </c>
      <c r="C104" s="42">
        <v>500</v>
      </c>
      <c r="D104" s="43">
        <f>SUM(D35+D36+D37+D72+D84+D94)</f>
        <v>0</v>
      </c>
      <c r="E104" s="43">
        <f>SUM(E35+E36+E37+E72+E84+E94)</f>
        <v>0</v>
      </c>
      <c r="F104" s="114">
        <f>SUM(G104:J104)</f>
        <v>37017.45360000001</v>
      </c>
      <c r="G104" s="114">
        <f>G35+G36+G37</f>
        <v>10153.33299</v>
      </c>
      <c r="H104" s="114">
        <f>H35+H36+H37</f>
        <v>8965.77618</v>
      </c>
      <c r="I104" s="114">
        <f>I35+I36+I37</f>
        <v>8850.545610000001</v>
      </c>
      <c r="J104" s="114">
        <f>J35+J36+J37</f>
        <v>9047.79882</v>
      </c>
      <c r="K104" s="44"/>
      <c r="L104" s="89" t="s">
        <v>437</v>
      </c>
      <c r="M104" s="10"/>
      <c r="N104" s="10"/>
      <c r="O104" s="10"/>
      <c r="P104" s="10"/>
      <c r="Q104" s="10"/>
      <c r="R104" s="10"/>
      <c r="S104" s="30"/>
      <c r="T104" s="30"/>
      <c r="U104" s="30"/>
      <c r="V104" s="30"/>
      <c r="W104" s="30"/>
      <c r="X104" s="30"/>
      <c r="Y104" s="30"/>
    </row>
    <row r="105" spans="1:25" ht="18.75">
      <c r="A105" s="22">
        <v>71</v>
      </c>
      <c r="B105" s="21" t="s">
        <v>164</v>
      </c>
      <c r="C105" s="42">
        <v>600</v>
      </c>
      <c r="D105" s="43">
        <f>D42+D45+D46+D52+D53+D56+D58+D59+D60+D86+D99</f>
        <v>0</v>
      </c>
      <c r="E105" s="43">
        <f>E42+E45+E46+E52+E53+E56+E58+E59+E60+E86+E99</f>
        <v>0</v>
      </c>
      <c r="F105" s="114">
        <f>SUM(G105:J105)</f>
        <v>-36415.4536</v>
      </c>
      <c r="G105" s="114">
        <f>G82+G86</f>
        <v>-10132.44518</v>
      </c>
      <c r="H105" s="114">
        <f>H82+H86</f>
        <v>-8765.776179999999</v>
      </c>
      <c r="I105" s="114">
        <f>I82+I86</f>
        <v>-8650.54561</v>
      </c>
      <c r="J105" s="114">
        <f>J82+J86</f>
        <v>-8866.686630000002</v>
      </c>
      <c r="K105" s="44"/>
      <c r="L105" s="89" t="s">
        <v>438</v>
      </c>
      <c r="M105" s="10"/>
      <c r="N105" s="10"/>
      <c r="O105" s="10"/>
      <c r="P105" s="10"/>
      <c r="Q105" s="10"/>
      <c r="R105" s="10"/>
      <c r="S105" s="30"/>
      <c r="T105" s="30"/>
      <c r="U105" s="30"/>
      <c r="V105" s="30"/>
      <c r="W105" s="30"/>
      <c r="X105" s="30"/>
      <c r="Y105" s="30"/>
    </row>
    <row r="106" spans="1:25" ht="18.75">
      <c r="A106" s="22">
        <v>72</v>
      </c>
      <c r="B106" s="23" t="s">
        <v>165</v>
      </c>
      <c r="C106" s="24">
        <v>650</v>
      </c>
      <c r="D106" s="25"/>
      <c r="E106" s="25"/>
      <c r="F106" s="106">
        <f>SUM(G106:J106)</f>
        <v>602.0000000000018</v>
      </c>
      <c r="G106" s="107">
        <f>G104+G105</f>
        <v>20.887810000000172</v>
      </c>
      <c r="H106" s="107">
        <f>H104+H105</f>
        <v>200.00000000000182</v>
      </c>
      <c r="I106" s="107">
        <f>I104+I105</f>
        <v>200.00000000000182</v>
      </c>
      <c r="J106" s="107">
        <f>J104+J105</f>
        <v>181.112189999998</v>
      </c>
      <c r="K106" s="44"/>
      <c r="L106" s="89" t="s">
        <v>439</v>
      </c>
      <c r="M106" s="10"/>
      <c r="N106" s="10"/>
      <c r="O106" s="10"/>
      <c r="P106" s="10"/>
      <c r="Q106" s="10"/>
      <c r="R106" s="10"/>
      <c r="S106" s="30"/>
      <c r="T106" s="30"/>
      <c r="U106" s="30"/>
      <c r="V106" s="30"/>
      <c r="W106" s="30"/>
      <c r="X106" s="30"/>
      <c r="Y106" s="30"/>
    </row>
    <row r="107" spans="1:23" ht="18.75">
      <c r="A107" s="22">
        <v>73</v>
      </c>
      <c r="B107" s="430" t="s">
        <v>166</v>
      </c>
      <c r="C107" s="426"/>
      <c r="D107" s="34"/>
      <c r="E107" s="34"/>
      <c r="F107" s="115" t="s">
        <v>167</v>
      </c>
      <c r="G107" s="115" t="s">
        <v>168</v>
      </c>
      <c r="H107" s="115" t="s">
        <v>169</v>
      </c>
      <c r="I107" s="115" t="s">
        <v>170</v>
      </c>
      <c r="J107" s="115" t="s">
        <v>171</v>
      </c>
      <c r="K107" s="44"/>
      <c r="L107" s="183"/>
      <c r="M107" s="10"/>
      <c r="N107" s="10"/>
      <c r="O107" s="79" t="s">
        <v>306</v>
      </c>
      <c r="P107" s="10"/>
      <c r="Q107" s="10"/>
      <c r="R107" s="10"/>
      <c r="S107" s="30"/>
      <c r="T107" s="30"/>
      <c r="U107" s="30"/>
      <c r="V107" s="30"/>
      <c r="W107" s="30"/>
    </row>
    <row r="108" spans="1:23" ht="18.75">
      <c r="A108" s="22">
        <v>74</v>
      </c>
      <c r="B108" s="23" t="s">
        <v>172</v>
      </c>
      <c r="C108" s="24">
        <v>700</v>
      </c>
      <c r="D108" s="25"/>
      <c r="E108" s="25"/>
      <c r="F108" s="107">
        <v>227</v>
      </c>
      <c r="G108" s="107">
        <v>227</v>
      </c>
      <c r="H108" s="107">
        <v>227</v>
      </c>
      <c r="I108" s="107">
        <v>227</v>
      </c>
      <c r="J108" s="107">
        <v>227</v>
      </c>
      <c r="K108" s="44"/>
      <c r="L108" s="79" t="s">
        <v>291</v>
      </c>
      <c r="M108" s="11" t="s">
        <v>304</v>
      </c>
      <c r="N108" s="11" t="s">
        <v>305</v>
      </c>
      <c r="O108" s="11" t="s">
        <v>304</v>
      </c>
      <c r="P108" s="11" t="s">
        <v>305</v>
      </c>
      <c r="Q108" s="10"/>
      <c r="R108" s="10"/>
      <c r="S108" s="30"/>
      <c r="T108" s="30"/>
      <c r="U108" s="30"/>
      <c r="V108" s="30"/>
      <c r="W108" s="30"/>
    </row>
    <row r="109" spans="1:18" ht="18.75">
      <c r="A109" s="22">
        <v>75</v>
      </c>
      <c r="B109" s="23" t="s">
        <v>173</v>
      </c>
      <c r="C109" s="24">
        <v>710</v>
      </c>
      <c r="D109" s="25"/>
      <c r="E109" s="25"/>
      <c r="F109" s="111">
        <v>5451.57</v>
      </c>
      <c r="G109" s="111">
        <v>5451.57</v>
      </c>
      <c r="H109" s="111">
        <v>5451.57</v>
      </c>
      <c r="I109" s="111">
        <v>5451.57</v>
      </c>
      <c r="J109" s="111">
        <f>I109</f>
        <v>5451.57</v>
      </c>
      <c r="K109" s="44"/>
      <c r="L109" s="89" t="s">
        <v>292</v>
      </c>
      <c r="M109" s="84">
        <v>2802317.06</v>
      </c>
      <c r="N109" s="429">
        <f>SUM(M109:M111)</f>
        <v>8406951.18</v>
      </c>
      <c r="O109" s="84">
        <v>172494</v>
      </c>
      <c r="P109" s="429">
        <f>SUM(O109:O111)</f>
        <v>172494</v>
      </c>
      <c r="Q109" s="86"/>
      <c r="R109" s="10"/>
    </row>
    <row r="110" spans="1:18" ht="18.75">
      <c r="A110" s="22">
        <v>76</v>
      </c>
      <c r="B110" s="23" t="s">
        <v>174</v>
      </c>
      <c r="C110" s="24">
        <v>720</v>
      </c>
      <c r="D110" s="25"/>
      <c r="E110" s="25"/>
      <c r="F110" s="111"/>
      <c r="G110" s="111"/>
      <c r="H110" s="111"/>
      <c r="I110" s="111">
        <v>0</v>
      </c>
      <c r="J110" s="111">
        <v>0</v>
      </c>
      <c r="K110" s="44"/>
      <c r="L110" s="89" t="s">
        <v>293</v>
      </c>
      <c r="M110" s="84">
        <v>2802317.06</v>
      </c>
      <c r="N110" s="429"/>
      <c r="O110" s="84"/>
      <c r="P110" s="429"/>
      <c r="Q110" s="86"/>
      <c r="R110" s="86"/>
    </row>
    <row r="111" spans="1:18" ht="18.75">
      <c r="A111" s="22">
        <v>77</v>
      </c>
      <c r="B111" s="23" t="s">
        <v>175</v>
      </c>
      <c r="C111" s="24">
        <v>730</v>
      </c>
      <c r="D111" s="25"/>
      <c r="E111" s="25"/>
      <c r="F111" s="111"/>
      <c r="G111" s="111"/>
      <c r="H111" s="111"/>
      <c r="I111" s="111">
        <v>0</v>
      </c>
      <c r="J111" s="111">
        <v>0</v>
      </c>
      <c r="K111" s="44"/>
      <c r="L111" s="89" t="s">
        <v>294</v>
      </c>
      <c r="M111" s="84">
        <v>2802317.06</v>
      </c>
      <c r="N111" s="429"/>
      <c r="O111" s="84"/>
      <c r="P111" s="429"/>
      <c r="Q111" s="86"/>
      <c r="R111" s="86"/>
    </row>
    <row r="112" spans="2:18" ht="18.75">
      <c r="B112" s="15"/>
      <c r="C112" s="45"/>
      <c r="D112" s="46"/>
      <c r="E112" s="46"/>
      <c r="F112" s="116"/>
      <c r="G112" s="116"/>
      <c r="H112" s="116"/>
      <c r="I112" s="116"/>
      <c r="J112" s="116"/>
      <c r="K112" s="44"/>
      <c r="L112" s="89" t="s">
        <v>295</v>
      </c>
      <c r="M112" s="84">
        <v>2802317.06</v>
      </c>
      <c r="N112" s="429">
        <f>SUM(M112:M114)</f>
        <v>8406951.18</v>
      </c>
      <c r="O112" s="84"/>
      <c r="P112" s="429">
        <f>SUM(O112:O114)</f>
        <v>0</v>
      </c>
      <c r="Q112" s="86"/>
      <c r="R112" s="86"/>
    </row>
    <row r="113" spans="2:18" ht="18.75">
      <c r="B113" s="15"/>
      <c r="D113" s="47"/>
      <c r="E113" s="48"/>
      <c r="F113" s="117"/>
      <c r="G113" s="117"/>
      <c r="H113" s="117"/>
      <c r="I113" s="117"/>
      <c r="J113" s="117"/>
      <c r="K113" s="44"/>
      <c r="L113" s="89" t="s">
        <v>296</v>
      </c>
      <c r="M113" s="84">
        <v>2802317.06</v>
      </c>
      <c r="N113" s="429"/>
      <c r="O113" s="84"/>
      <c r="P113" s="429"/>
      <c r="Q113" s="86"/>
      <c r="R113" s="86"/>
    </row>
    <row r="114" spans="2:18" ht="18.75">
      <c r="B114" s="49" t="s">
        <v>445</v>
      </c>
      <c r="C114" s="45"/>
      <c r="D114" s="433" t="s">
        <v>176</v>
      </c>
      <c r="E114" s="433"/>
      <c r="F114" s="433"/>
      <c r="G114" s="118"/>
      <c r="H114" s="434" t="s">
        <v>446</v>
      </c>
      <c r="I114" s="434"/>
      <c r="J114" s="434"/>
      <c r="K114" s="44"/>
      <c r="L114" s="89" t="s">
        <v>297</v>
      </c>
      <c r="M114" s="84">
        <v>2802317.06</v>
      </c>
      <c r="N114" s="429"/>
      <c r="O114" s="84"/>
      <c r="P114" s="429"/>
      <c r="Q114" s="86"/>
      <c r="R114" s="10"/>
    </row>
    <row r="115" spans="2:25" s="52" customFormat="1" ht="18.75">
      <c r="B115" s="50" t="s">
        <v>177</v>
      </c>
      <c r="C115" s="51"/>
      <c r="D115" s="435" t="s">
        <v>178</v>
      </c>
      <c r="E115" s="435"/>
      <c r="F115" s="435"/>
      <c r="G115" s="119"/>
      <c r="H115" s="436" t="s">
        <v>179</v>
      </c>
      <c r="I115" s="436"/>
      <c r="J115" s="436"/>
      <c r="K115" s="44"/>
      <c r="L115" s="89" t="s">
        <v>298</v>
      </c>
      <c r="M115" s="84">
        <v>2802317.06</v>
      </c>
      <c r="N115" s="429">
        <f>SUM(M115:M117)</f>
        <v>8418048.82</v>
      </c>
      <c r="O115" s="84"/>
      <c r="P115" s="429">
        <f>SUM(O115:O117)</f>
        <v>0</v>
      </c>
      <c r="Q115" s="86"/>
      <c r="R115" s="12"/>
      <c r="S115" s="12"/>
      <c r="T115" s="12"/>
      <c r="U115" s="12"/>
      <c r="V115" s="12"/>
      <c r="W115" s="12"/>
      <c r="X115" s="12"/>
      <c r="Y115" s="12"/>
    </row>
    <row r="116" spans="2:18" ht="18.75">
      <c r="B116" s="15"/>
      <c r="D116" s="47"/>
      <c r="E116" s="48"/>
      <c r="F116" s="117"/>
      <c r="G116" s="117"/>
      <c r="H116" s="117"/>
      <c r="I116" s="117"/>
      <c r="J116" s="117"/>
      <c r="K116" s="44"/>
      <c r="L116" s="89" t="s">
        <v>299</v>
      </c>
      <c r="M116" s="84">
        <v>2802317.06</v>
      </c>
      <c r="N116" s="429"/>
      <c r="O116" s="84"/>
      <c r="P116" s="429"/>
      <c r="Q116" s="86"/>
      <c r="R116" s="86"/>
    </row>
    <row r="117" spans="2:17" ht="18.75">
      <c r="B117" s="15"/>
      <c r="D117" s="47"/>
      <c r="E117" s="48"/>
      <c r="F117" s="117"/>
      <c r="G117" s="117"/>
      <c r="H117" s="117"/>
      <c r="I117" s="117"/>
      <c r="J117" s="117"/>
      <c r="K117" s="44"/>
      <c r="L117" s="89" t="s">
        <v>300</v>
      </c>
      <c r="M117" s="84">
        <f>2802317.2+11097.5</f>
        <v>2813414.7</v>
      </c>
      <c r="N117" s="429"/>
      <c r="O117" s="84"/>
      <c r="P117" s="429"/>
      <c r="Q117" s="86"/>
    </row>
    <row r="118" spans="2:25" ht="18.75">
      <c r="B118" s="15"/>
      <c r="D118" s="47"/>
      <c r="E118" s="48"/>
      <c r="F118" s="117"/>
      <c r="G118" s="117"/>
      <c r="H118" s="117"/>
      <c r="I118" s="117"/>
      <c r="J118" s="117"/>
      <c r="L118" s="89" t="s">
        <v>301</v>
      </c>
      <c r="M118" s="84">
        <v>2802317.06</v>
      </c>
      <c r="N118" s="429">
        <f>SUM(M118:M120)</f>
        <v>8418048.82</v>
      </c>
      <c r="O118" s="84"/>
      <c r="P118" s="429">
        <f>SUM(O118:O120)</f>
        <v>0</v>
      </c>
      <c r="Q118" s="86"/>
      <c r="X118" s="52"/>
      <c r="Y118" s="52"/>
    </row>
    <row r="119" spans="2:18" ht="18.75">
      <c r="B119" s="15"/>
      <c r="D119" s="47"/>
      <c r="E119" s="48"/>
      <c r="F119" s="117"/>
      <c r="G119" s="117"/>
      <c r="H119" s="117"/>
      <c r="I119" s="117"/>
      <c r="J119" s="117"/>
      <c r="L119" s="89" t="s">
        <v>302</v>
      </c>
      <c r="M119" s="84">
        <v>2802317.06</v>
      </c>
      <c r="N119" s="429"/>
      <c r="O119" s="84"/>
      <c r="P119" s="429"/>
      <c r="Q119" s="86"/>
      <c r="R119" s="86"/>
    </row>
    <row r="120" spans="2:23" ht="18.75">
      <c r="B120" s="15"/>
      <c r="D120" s="47"/>
      <c r="E120" s="48"/>
      <c r="F120" s="117"/>
      <c r="G120" s="117"/>
      <c r="H120" s="117"/>
      <c r="I120" s="117"/>
      <c r="J120" s="117"/>
      <c r="K120" s="52"/>
      <c r="L120" s="89" t="s">
        <v>303</v>
      </c>
      <c r="M120" s="84">
        <f>2802317.2+11097.5</f>
        <v>2813414.7</v>
      </c>
      <c r="N120" s="429"/>
      <c r="O120" s="84"/>
      <c r="P120" s="429"/>
      <c r="Q120" s="86"/>
      <c r="S120" s="52"/>
      <c r="T120" s="52"/>
      <c r="U120" s="52"/>
      <c r="V120" s="52"/>
      <c r="W120" s="52"/>
    </row>
    <row r="121" spans="2:18" ht="18.75">
      <c r="B121" s="15"/>
      <c r="D121" s="47"/>
      <c r="E121" s="48"/>
      <c r="F121" s="117"/>
      <c r="G121" s="117"/>
      <c r="H121" s="117"/>
      <c r="I121" s="117"/>
      <c r="J121" s="117"/>
      <c r="M121" s="85">
        <f>SUM(M109:M120)</f>
        <v>33649999.99999999</v>
      </c>
      <c r="O121" s="85">
        <f>SUM(O109:O120)</f>
        <v>172494</v>
      </c>
      <c r="Q121" s="85">
        <f>SUM(Q109:Q120)</f>
        <v>0</v>
      </c>
      <c r="R121" s="85">
        <f>SUM(R109:R120)</f>
        <v>0</v>
      </c>
    </row>
    <row r="122" spans="2:10" ht="18.75">
      <c r="B122" s="15"/>
      <c r="D122" s="47"/>
      <c r="E122" s="48"/>
      <c r="F122" s="117"/>
      <c r="G122" s="117"/>
      <c r="H122" s="117"/>
      <c r="I122" s="117"/>
      <c r="J122" s="117"/>
    </row>
    <row r="123" spans="2:18" ht="18.75">
      <c r="B123" s="15"/>
      <c r="D123" s="47"/>
      <c r="E123" s="48"/>
      <c r="F123" s="117"/>
      <c r="G123" s="117"/>
      <c r="H123" s="117"/>
      <c r="I123" s="117"/>
      <c r="J123" s="117"/>
      <c r="L123" s="22" t="s">
        <v>309</v>
      </c>
      <c r="Q123" s="52"/>
      <c r="R123" s="52"/>
    </row>
    <row r="124" spans="2:13" ht="18.75">
      <c r="B124" s="15"/>
      <c r="D124" s="47"/>
      <c r="E124" s="48"/>
      <c r="F124" s="117"/>
      <c r="G124" s="117"/>
      <c r="H124" s="117"/>
      <c r="I124" s="117"/>
      <c r="J124" s="117"/>
      <c r="M124" s="86">
        <f>M121+O121</f>
        <v>33822493.99999999</v>
      </c>
    </row>
    <row r="125" spans="2:10" ht="18.75">
      <c r="B125" s="15"/>
      <c r="D125" s="47"/>
      <c r="E125" s="48"/>
      <c r="F125" s="117"/>
      <c r="G125" s="117"/>
      <c r="H125" s="117"/>
      <c r="I125" s="117"/>
      <c r="J125" s="117"/>
    </row>
    <row r="126" spans="2:13" ht="18.75">
      <c r="B126" s="15"/>
      <c r="D126" s="47"/>
      <c r="E126" s="48"/>
      <c r="F126" s="117"/>
      <c r="G126" s="117"/>
      <c r="H126" s="117"/>
      <c r="I126" s="117"/>
      <c r="J126" s="117"/>
      <c r="L126" s="201" t="s">
        <v>434</v>
      </c>
      <c r="M126" s="22">
        <f>15223.17+5664.64</f>
        <v>20887.81</v>
      </c>
    </row>
    <row r="127" spans="2:10" ht="18.75">
      <c r="B127" s="15"/>
      <c r="D127" s="47"/>
      <c r="E127" s="48"/>
      <c r="F127" s="117"/>
      <c r="G127" s="117"/>
      <c r="H127" s="117"/>
      <c r="I127" s="117"/>
      <c r="J127" s="117"/>
    </row>
    <row r="128" spans="2:10" ht="18.75">
      <c r="B128" s="15"/>
      <c r="D128" s="47"/>
      <c r="E128" s="48"/>
      <c r="F128" s="117"/>
      <c r="G128" s="117"/>
      <c r="H128" s="117"/>
      <c r="I128" s="117"/>
      <c r="J128" s="117"/>
    </row>
    <row r="129" spans="2:10" ht="18.75">
      <c r="B129" s="15"/>
      <c r="D129" s="47"/>
      <c r="E129" s="48"/>
      <c r="F129" s="117"/>
      <c r="G129" s="117"/>
      <c r="H129" s="117"/>
      <c r="I129" s="117"/>
      <c r="J129" s="117"/>
    </row>
    <row r="130" spans="2:10" ht="18.75">
      <c r="B130" s="15"/>
      <c r="D130" s="47"/>
      <c r="E130" s="48"/>
      <c r="F130" s="117"/>
      <c r="G130" s="117"/>
      <c r="H130" s="117"/>
      <c r="I130" s="117"/>
      <c r="J130" s="117"/>
    </row>
    <row r="131" spans="2:10" ht="18.75">
      <c r="B131" s="15"/>
      <c r="D131" s="47"/>
      <c r="E131" s="48"/>
      <c r="F131" s="117"/>
      <c r="G131" s="117"/>
      <c r="H131" s="117"/>
      <c r="I131" s="117"/>
      <c r="J131" s="117"/>
    </row>
    <row r="132" spans="2:10" ht="18.75">
      <c r="B132" s="15"/>
      <c r="D132" s="47"/>
      <c r="E132" s="48"/>
      <c r="F132" s="117"/>
      <c r="G132" s="117"/>
      <c r="H132" s="117"/>
      <c r="I132" s="117"/>
      <c r="J132" s="117"/>
    </row>
    <row r="133" spans="2:10" ht="18.75">
      <c r="B133" s="15"/>
      <c r="D133" s="47"/>
      <c r="E133" s="48"/>
      <c r="F133" s="117"/>
      <c r="G133" s="117"/>
      <c r="H133" s="117"/>
      <c r="I133" s="117"/>
      <c r="J133" s="117"/>
    </row>
    <row r="134" spans="2:10" ht="18.75">
      <c r="B134" s="15"/>
      <c r="D134" s="47"/>
      <c r="E134" s="48"/>
      <c r="F134" s="117"/>
      <c r="G134" s="117"/>
      <c r="H134" s="117"/>
      <c r="I134" s="117"/>
      <c r="J134" s="117"/>
    </row>
    <row r="135" spans="2:10" ht="18.75">
      <c r="B135" s="15"/>
      <c r="D135" s="47"/>
      <c r="E135" s="48"/>
      <c r="F135" s="117"/>
      <c r="G135" s="117"/>
      <c r="H135" s="117"/>
      <c r="I135" s="117"/>
      <c r="J135" s="117"/>
    </row>
    <row r="136" spans="2:10" ht="18.75">
      <c r="B136" s="15"/>
      <c r="D136" s="47"/>
      <c r="E136" s="48"/>
      <c r="F136" s="117"/>
      <c r="G136" s="117"/>
      <c r="H136" s="117"/>
      <c r="I136" s="117"/>
      <c r="J136" s="117"/>
    </row>
    <row r="137" spans="2:10" ht="18.75">
      <c r="B137" s="15"/>
      <c r="D137" s="47"/>
      <c r="E137" s="48"/>
      <c r="F137" s="117"/>
      <c r="G137" s="117"/>
      <c r="H137" s="117"/>
      <c r="I137" s="117"/>
      <c r="J137" s="117"/>
    </row>
    <row r="138" spans="2:10" ht="18.75">
      <c r="B138" s="15"/>
      <c r="D138" s="47"/>
      <c r="E138" s="48"/>
      <c r="F138" s="117"/>
      <c r="G138" s="117"/>
      <c r="H138" s="117"/>
      <c r="I138" s="117"/>
      <c r="J138" s="117"/>
    </row>
    <row r="139" spans="2:10" ht="18.75">
      <c r="B139" s="15"/>
      <c r="D139" s="47"/>
      <c r="E139" s="48"/>
      <c r="F139" s="117"/>
      <c r="G139" s="117"/>
      <c r="H139" s="117"/>
      <c r="I139" s="117"/>
      <c r="J139" s="117"/>
    </row>
    <row r="140" spans="2:10" ht="18.75">
      <c r="B140" s="15"/>
      <c r="D140" s="47"/>
      <c r="E140" s="48"/>
      <c r="F140" s="117"/>
      <c r="G140" s="117"/>
      <c r="H140" s="117"/>
      <c r="I140" s="117"/>
      <c r="J140" s="117"/>
    </row>
    <row r="141" spans="2:10" ht="18.75">
      <c r="B141" s="15"/>
      <c r="D141" s="47"/>
      <c r="E141" s="48"/>
      <c r="F141" s="117"/>
      <c r="G141" s="117"/>
      <c r="H141" s="117"/>
      <c r="I141" s="117"/>
      <c r="J141" s="117"/>
    </row>
    <row r="142" spans="2:10" ht="18.75">
      <c r="B142" s="15"/>
      <c r="D142" s="47"/>
      <c r="E142" s="48"/>
      <c r="F142" s="117"/>
      <c r="G142" s="117"/>
      <c r="H142" s="117"/>
      <c r="I142" s="117"/>
      <c r="J142" s="117"/>
    </row>
    <row r="143" spans="2:10" ht="18.75">
      <c r="B143" s="15"/>
      <c r="D143" s="47"/>
      <c r="E143" s="48"/>
      <c r="F143" s="117"/>
      <c r="G143" s="117"/>
      <c r="H143" s="117"/>
      <c r="I143" s="117"/>
      <c r="J143" s="117"/>
    </row>
    <row r="144" spans="2:10" ht="18.75">
      <c r="B144" s="15"/>
      <c r="D144" s="47"/>
      <c r="E144" s="48"/>
      <c r="F144" s="117"/>
      <c r="G144" s="117"/>
      <c r="H144" s="117"/>
      <c r="I144" s="117"/>
      <c r="J144" s="117"/>
    </row>
    <row r="145" spans="2:10" ht="18.75">
      <c r="B145" s="15"/>
      <c r="D145" s="47"/>
      <c r="E145" s="48"/>
      <c r="F145" s="117"/>
      <c r="G145" s="117"/>
      <c r="H145" s="117"/>
      <c r="I145" s="117"/>
      <c r="J145" s="117"/>
    </row>
    <row r="146" spans="2:10" ht="18.75">
      <c r="B146" s="15"/>
      <c r="D146" s="47"/>
      <c r="E146" s="48"/>
      <c r="F146" s="117"/>
      <c r="G146" s="117"/>
      <c r="H146" s="117"/>
      <c r="I146" s="117"/>
      <c r="J146" s="117"/>
    </row>
    <row r="147" spans="2:10" ht="18.75">
      <c r="B147" s="15"/>
      <c r="D147" s="47"/>
      <c r="E147" s="48"/>
      <c r="F147" s="117"/>
      <c r="G147" s="117"/>
      <c r="H147" s="117"/>
      <c r="I147" s="117"/>
      <c r="J147" s="117"/>
    </row>
    <row r="148" spans="2:10" ht="18.75">
      <c r="B148" s="15"/>
      <c r="D148" s="47"/>
      <c r="E148" s="48"/>
      <c r="F148" s="117"/>
      <c r="G148" s="117"/>
      <c r="H148" s="117"/>
      <c r="I148" s="117"/>
      <c r="J148" s="117"/>
    </row>
    <row r="149" spans="2:10" ht="18.75">
      <c r="B149" s="15"/>
      <c r="D149" s="47"/>
      <c r="E149" s="48"/>
      <c r="F149" s="117"/>
      <c r="G149" s="117"/>
      <c r="H149" s="117"/>
      <c r="I149" s="117"/>
      <c r="J149" s="117"/>
    </row>
    <row r="150" spans="2:10" ht="18.75">
      <c r="B150" s="15"/>
      <c r="D150" s="47"/>
      <c r="E150" s="48"/>
      <c r="F150" s="117"/>
      <c r="G150" s="117"/>
      <c r="H150" s="117"/>
      <c r="I150" s="117"/>
      <c r="J150" s="117"/>
    </row>
    <row r="151" spans="2:10" ht="18.75">
      <c r="B151" s="15"/>
      <c r="D151" s="47"/>
      <c r="E151" s="48"/>
      <c r="F151" s="117"/>
      <c r="G151" s="117"/>
      <c r="H151" s="117"/>
      <c r="I151" s="117"/>
      <c r="J151" s="117"/>
    </row>
    <row r="152" spans="2:10" ht="18.75">
      <c r="B152" s="15"/>
      <c r="D152" s="47"/>
      <c r="E152" s="48"/>
      <c r="F152" s="117"/>
      <c r="G152" s="117"/>
      <c r="H152" s="117"/>
      <c r="I152" s="117"/>
      <c r="J152" s="117"/>
    </row>
    <row r="153" spans="2:10" ht="18.75">
      <c r="B153" s="15"/>
      <c r="D153" s="47"/>
      <c r="E153" s="48"/>
      <c r="F153" s="117"/>
      <c r="G153" s="117"/>
      <c r="H153" s="117"/>
      <c r="I153" s="117"/>
      <c r="J153" s="117"/>
    </row>
    <row r="154" spans="2:10" ht="18.75">
      <c r="B154" s="15"/>
      <c r="D154" s="47"/>
      <c r="E154" s="48"/>
      <c r="F154" s="117"/>
      <c r="G154" s="117"/>
      <c r="H154" s="117"/>
      <c r="I154" s="117"/>
      <c r="J154" s="117"/>
    </row>
    <row r="155" spans="2:10" ht="18.75">
      <c r="B155" s="15"/>
      <c r="D155" s="47"/>
      <c r="E155" s="48"/>
      <c r="F155" s="117"/>
      <c r="G155" s="117"/>
      <c r="H155" s="117"/>
      <c r="I155" s="117"/>
      <c r="J155" s="117"/>
    </row>
    <row r="156" spans="2:10" ht="18.75">
      <c r="B156" s="15"/>
      <c r="D156" s="47"/>
      <c r="E156" s="48"/>
      <c r="F156" s="117"/>
      <c r="G156" s="117"/>
      <c r="H156" s="117"/>
      <c r="I156" s="117"/>
      <c r="J156" s="117"/>
    </row>
    <row r="157" ht="18.75">
      <c r="B157" s="53"/>
    </row>
    <row r="158" ht="18.75">
      <c r="B158" s="53"/>
    </row>
    <row r="159" ht="18.75">
      <c r="B159" s="53"/>
    </row>
    <row r="160" ht="18.75">
      <c r="B160" s="53"/>
    </row>
    <row r="161" spans="2:25" s="13" customFormat="1" ht="18.75">
      <c r="B161" s="53"/>
      <c r="F161" s="120"/>
      <c r="G161" s="120"/>
      <c r="H161" s="120"/>
      <c r="I161" s="120"/>
      <c r="J161" s="120"/>
      <c r="K161" s="12"/>
      <c r="L161" s="22"/>
      <c r="M161" s="12"/>
      <c r="N161" s="12"/>
      <c r="O161" s="12"/>
      <c r="P161" s="12"/>
      <c r="Q161" s="12"/>
      <c r="R161" s="12"/>
      <c r="S161" s="12"/>
      <c r="T161" s="12"/>
      <c r="U161" s="12"/>
      <c r="V161" s="12"/>
      <c r="W161" s="12"/>
      <c r="X161" s="12"/>
      <c r="Y161" s="12"/>
    </row>
    <row r="162" spans="2:25" s="13" customFormat="1" ht="18.75">
      <c r="B162" s="53"/>
      <c r="F162" s="120"/>
      <c r="G162" s="120"/>
      <c r="H162" s="120"/>
      <c r="I162" s="120"/>
      <c r="J162" s="120"/>
      <c r="K162" s="12"/>
      <c r="L162" s="22"/>
      <c r="M162" s="12"/>
      <c r="N162" s="12"/>
      <c r="O162" s="12"/>
      <c r="P162" s="12"/>
      <c r="Q162" s="12"/>
      <c r="R162" s="12"/>
      <c r="S162" s="12"/>
      <c r="T162" s="12"/>
      <c r="U162" s="12"/>
      <c r="V162" s="12"/>
      <c r="W162" s="12"/>
      <c r="X162" s="12"/>
      <c r="Y162" s="12"/>
    </row>
    <row r="163" spans="2:25" s="13" customFormat="1" ht="18.75">
      <c r="B163" s="53"/>
      <c r="F163" s="120"/>
      <c r="G163" s="120"/>
      <c r="H163" s="120"/>
      <c r="I163" s="120"/>
      <c r="J163" s="120"/>
      <c r="K163" s="12"/>
      <c r="L163" s="22"/>
      <c r="M163" s="12"/>
      <c r="N163" s="12"/>
      <c r="O163" s="12"/>
      <c r="P163" s="12"/>
      <c r="Q163" s="12"/>
      <c r="R163" s="12"/>
      <c r="S163" s="12"/>
      <c r="T163" s="12"/>
      <c r="U163" s="12"/>
      <c r="V163" s="12"/>
      <c r="W163" s="12"/>
      <c r="X163" s="12"/>
      <c r="Y163" s="12"/>
    </row>
    <row r="164" spans="2:23" s="13" customFormat="1" ht="18.75">
      <c r="B164" s="53"/>
      <c r="F164" s="120"/>
      <c r="G164" s="120"/>
      <c r="H164" s="120"/>
      <c r="I164" s="120"/>
      <c r="J164" s="120"/>
      <c r="K164" s="12"/>
      <c r="L164" s="78"/>
      <c r="Q164" s="12"/>
      <c r="R164" s="12"/>
      <c r="S164" s="12"/>
      <c r="T164" s="12"/>
      <c r="U164" s="12"/>
      <c r="V164" s="12"/>
      <c r="W164" s="12"/>
    </row>
    <row r="165" spans="2:23" s="13" customFormat="1" ht="18.75">
      <c r="B165" s="53"/>
      <c r="F165" s="120"/>
      <c r="G165" s="120"/>
      <c r="H165" s="120"/>
      <c r="I165" s="120"/>
      <c r="J165" s="120"/>
      <c r="K165" s="12"/>
      <c r="L165" s="78"/>
      <c r="Q165" s="12"/>
      <c r="R165" s="12"/>
      <c r="S165" s="12"/>
      <c r="T165" s="12"/>
      <c r="U165" s="12"/>
      <c r="V165" s="12"/>
      <c r="W165" s="12"/>
    </row>
    <row r="166" spans="2:18" s="13" customFormat="1" ht="18.75">
      <c r="B166" s="53"/>
      <c r="F166" s="120"/>
      <c r="G166" s="120"/>
      <c r="H166" s="120"/>
      <c r="I166" s="120"/>
      <c r="J166" s="120"/>
      <c r="L166" s="78"/>
      <c r="Q166" s="12"/>
      <c r="R166" s="12"/>
    </row>
    <row r="167" spans="2:18" s="13" customFormat="1" ht="18.75">
      <c r="B167" s="53"/>
      <c r="F167" s="120"/>
      <c r="G167" s="120"/>
      <c r="H167" s="120"/>
      <c r="I167" s="120"/>
      <c r="J167" s="120"/>
      <c r="L167" s="78"/>
      <c r="Q167" s="12"/>
      <c r="R167" s="12"/>
    </row>
    <row r="168" spans="2:18" s="13" customFormat="1" ht="18.75">
      <c r="B168" s="53"/>
      <c r="F168" s="120"/>
      <c r="G168" s="120"/>
      <c r="H168" s="120"/>
      <c r="I168" s="120"/>
      <c r="J168" s="120"/>
      <c r="L168" s="78"/>
      <c r="Q168" s="12"/>
      <c r="R168" s="12"/>
    </row>
    <row r="169" spans="2:12" s="13" customFormat="1" ht="18.75">
      <c r="B169" s="53"/>
      <c r="F169" s="120"/>
      <c r="G169" s="120"/>
      <c r="H169" s="120"/>
      <c r="I169" s="120"/>
      <c r="J169" s="120"/>
      <c r="L169" s="78"/>
    </row>
    <row r="170" spans="2:12" s="13" customFormat="1" ht="18.75">
      <c r="B170" s="53"/>
      <c r="F170" s="120"/>
      <c r="G170" s="120"/>
      <c r="H170" s="120"/>
      <c r="I170" s="120"/>
      <c r="J170" s="120"/>
      <c r="L170" s="78"/>
    </row>
    <row r="171" spans="2:12" s="13" customFormat="1" ht="18.75">
      <c r="B171" s="53"/>
      <c r="F171" s="120"/>
      <c r="G171" s="120"/>
      <c r="H171" s="120"/>
      <c r="I171" s="120"/>
      <c r="J171" s="120"/>
      <c r="L171" s="78"/>
    </row>
    <row r="172" spans="2:12" s="13" customFormat="1" ht="18.75">
      <c r="B172" s="53"/>
      <c r="F172" s="120"/>
      <c r="G172" s="120"/>
      <c r="H172" s="120"/>
      <c r="I172" s="120"/>
      <c r="J172" s="120"/>
      <c r="L172" s="78"/>
    </row>
    <row r="173" spans="2:12" s="13" customFormat="1" ht="18.75">
      <c r="B173" s="53"/>
      <c r="F173" s="120"/>
      <c r="G173" s="120"/>
      <c r="H173" s="120"/>
      <c r="I173" s="120"/>
      <c r="J173" s="120"/>
      <c r="L173" s="78"/>
    </row>
    <row r="174" spans="2:12" s="13" customFormat="1" ht="18.75">
      <c r="B174" s="53"/>
      <c r="F174" s="120"/>
      <c r="G174" s="120"/>
      <c r="H174" s="120"/>
      <c r="I174" s="120"/>
      <c r="J174" s="120"/>
      <c r="L174" s="78"/>
    </row>
    <row r="175" spans="2:12" s="13" customFormat="1" ht="18.75">
      <c r="B175" s="53"/>
      <c r="F175" s="120"/>
      <c r="G175" s="120"/>
      <c r="H175" s="120"/>
      <c r="I175" s="120"/>
      <c r="J175" s="120"/>
      <c r="L175" s="78"/>
    </row>
    <row r="176" spans="2:12" s="13" customFormat="1" ht="18.75">
      <c r="B176" s="53"/>
      <c r="F176" s="120"/>
      <c r="G176" s="120"/>
      <c r="H176" s="120"/>
      <c r="I176" s="120"/>
      <c r="J176" s="120"/>
      <c r="L176" s="78"/>
    </row>
    <row r="177" spans="2:12" s="13" customFormat="1" ht="18.75">
      <c r="B177" s="53"/>
      <c r="F177" s="120"/>
      <c r="G177" s="120"/>
      <c r="H177" s="120"/>
      <c r="I177" s="120"/>
      <c r="J177" s="120"/>
      <c r="L177" s="78"/>
    </row>
    <row r="178" spans="2:12" s="13" customFormat="1" ht="18.75">
      <c r="B178" s="53"/>
      <c r="F178" s="120"/>
      <c r="G178" s="120"/>
      <c r="H178" s="120"/>
      <c r="I178" s="120"/>
      <c r="J178" s="120"/>
      <c r="L178" s="78"/>
    </row>
    <row r="179" spans="2:12" s="13" customFormat="1" ht="18.75">
      <c r="B179" s="53"/>
      <c r="F179" s="120"/>
      <c r="G179" s="120"/>
      <c r="H179" s="120"/>
      <c r="I179" s="120"/>
      <c r="J179" s="120"/>
      <c r="L179" s="78"/>
    </row>
    <row r="180" spans="2:12" s="13" customFormat="1" ht="18.75">
      <c r="B180" s="53"/>
      <c r="F180" s="120"/>
      <c r="G180" s="120"/>
      <c r="H180" s="120"/>
      <c r="I180" s="120"/>
      <c r="J180" s="120"/>
      <c r="L180" s="78"/>
    </row>
    <row r="181" spans="2:12" s="13" customFormat="1" ht="18.75">
      <c r="B181" s="53"/>
      <c r="F181" s="120"/>
      <c r="G181" s="120"/>
      <c r="H181" s="120"/>
      <c r="I181" s="120"/>
      <c r="J181" s="120"/>
      <c r="L181" s="78"/>
    </row>
    <row r="182" spans="2:12" s="13" customFormat="1" ht="18.75">
      <c r="B182" s="53"/>
      <c r="F182" s="120"/>
      <c r="G182" s="120"/>
      <c r="H182" s="120"/>
      <c r="I182" s="120"/>
      <c r="J182" s="120"/>
      <c r="L182" s="78"/>
    </row>
    <row r="183" spans="2:12" s="13" customFormat="1" ht="18.75">
      <c r="B183" s="53"/>
      <c r="F183" s="120"/>
      <c r="G183" s="120"/>
      <c r="H183" s="120"/>
      <c r="I183" s="120"/>
      <c r="J183" s="120"/>
      <c r="L183" s="78"/>
    </row>
    <row r="184" spans="2:12" s="13" customFormat="1" ht="18.75">
      <c r="B184" s="53"/>
      <c r="F184" s="120"/>
      <c r="G184" s="120"/>
      <c r="H184" s="120"/>
      <c r="I184" s="120"/>
      <c r="J184" s="120"/>
      <c r="L184" s="78"/>
    </row>
    <row r="185" spans="2:12" s="13" customFormat="1" ht="18.75">
      <c r="B185" s="53"/>
      <c r="F185" s="120"/>
      <c r="G185" s="120"/>
      <c r="H185" s="120"/>
      <c r="I185" s="120"/>
      <c r="J185" s="120"/>
      <c r="L185" s="78"/>
    </row>
    <row r="186" spans="2:12" s="13" customFormat="1" ht="18.75">
      <c r="B186" s="53"/>
      <c r="F186" s="120"/>
      <c r="G186" s="120"/>
      <c r="H186" s="120"/>
      <c r="I186" s="120"/>
      <c r="J186" s="120"/>
      <c r="L186" s="78"/>
    </row>
    <row r="187" spans="2:12" s="13" customFormat="1" ht="18.75">
      <c r="B187" s="53"/>
      <c r="F187" s="120"/>
      <c r="G187" s="120"/>
      <c r="H187" s="120"/>
      <c r="I187" s="120"/>
      <c r="J187" s="120"/>
      <c r="L187" s="78"/>
    </row>
    <row r="188" spans="2:12" s="13" customFormat="1" ht="18.75">
      <c r="B188" s="53"/>
      <c r="F188" s="120"/>
      <c r="G188" s="120"/>
      <c r="H188" s="120"/>
      <c r="I188" s="120"/>
      <c r="J188" s="120"/>
      <c r="L188" s="78"/>
    </row>
    <row r="189" spans="2:12" s="13" customFormat="1" ht="18.75">
      <c r="B189" s="53"/>
      <c r="F189" s="120"/>
      <c r="G189" s="120"/>
      <c r="H189" s="120"/>
      <c r="I189" s="120"/>
      <c r="J189" s="120"/>
      <c r="L189" s="78"/>
    </row>
    <row r="190" spans="2:12" s="13" customFormat="1" ht="18.75">
      <c r="B190" s="53"/>
      <c r="F190" s="120"/>
      <c r="G190" s="120"/>
      <c r="H190" s="120"/>
      <c r="I190" s="120"/>
      <c r="J190" s="120"/>
      <c r="L190" s="78"/>
    </row>
    <row r="191" spans="2:12" s="13" customFormat="1" ht="18.75">
      <c r="B191" s="53"/>
      <c r="F191" s="120"/>
      <c r="G191" s="120"/>
      <c r="H191" s="120"/>
      <c r="I191" s="120"/>
      <c r="J191" s="120"/>
      <c r="L191" s="78"/>
    </row>
    <row r="192" spans="2:12" s="13" customFormat="1" ht="18.75">
      <c r="B192" s="53"/>
      <c r="F192" s="120"/>
      <c r="G192" s="120"/>
      <c r="H192" s="120"/>
      <c r="I192" s="120"/>
      <c r="J192" s="120"/>
      <c r="L192" s="78"/>
    </row>
    <row r="193" spans="2:12" s="13" customFormat="1" ht="18.75">
      <c r="B193" s="53"/>
      <c r="F193" s="120"/>
      <c r="G193" s="120"/>
      <c r="H193" s="120"/>
      <c r="I193" s="120"/>
      <c r="J193" s="120"/>
      <c r="L193" s="78"/>
    </row>
    <row r="194" spans="2:12" s="13" customFormat="1" ht="18.75">
      <c r="B194" s="53"/>
      <c r="F194" s="120"/>
      <c r="G194" s="120"/>
      <c r="H194" s="120"/>
      <c r="I194" s="120"/>
      <c r="J194" s="120"/>
      <c r="L194" s="78"/>
    </row>
    <row r="195" spans="2:12" s="13" customFormat="1" ht="18.75">
      <c r="B195" s="53"/>
      <c r="F195" s="120"/>
      <c r="G195" s="120"/>
      <c r="H195" s="120"/>
      <c r="I195" s="120"/>
      <c r="J195" s="120"/>
      <c r="L195" s="78"/>
    </row>
    <row r="196" spans="2:12" s="13" customFormat="1" ht="18.75">
      <c r="B196" s="53"/>
      <c r="F196" s="120"/>
      <c r="G196" s="120"/>
      <c r="H196" s="120"/>
      <c r="I196" s="120"/>
      <c r="J196" s="120"/>
      <c r="L196" s="78"/>
    </row>
    <row r="197" spans="2:12" s="13" customFormat="1" ht="18.75">
      <c r="B197" s="53"/>
      <c r="F197" s="120"/>
      <c r="G197" s="120"/>
      <c r="H197" s="120"/>
      <c r="I197" s="120"/>
      <c r="J197" s="120"/>
      <c r="L197" s="78"/>
    </row>
    <row r="198" spans="2:12" s="13" customFormat="1" ht="18.75">
      <c r="B198" s="53"/>
      <c r="F198" s="120"/>
      <c r="G198" s="120"/>
      <c r="H198" s="120"/>
      <c r="I198" s="120"/>
      <c r="J198" s="120"/>
      <c r="L198" s="78"/>
    </row>
    <row r="199" spans="2:12" s="13" customFormat="1" ht="18.75">
      <c r="B199" s="53"/>
      <c r="F199" s="120"/>
      <c r="G199" s="120"/>
      <c r="H199" s="120"/>
      <c r="I199" s="120"/>
      <c r="J199" s="120"/>
      <c r="L199" s="78"/>
    </row>
    <row r="200" spans="2:12" s="13" customFormat="1" ht="18.75">
      <c r="B200" s="53"/>
      <c r="F200" s="120"/>
      <c r="G200" s="120"/>
      <c r="H200" s="120"/>
      <c r="I200" s="120"/>
      <c r="J200" s="120"/>
      <c r="L200" s="78"/>
    </row>
    <row r="201" spans="2:12" s="13" customFormat="1" ht="18.75">
      <c r="B201" s="53"/>
      <c r="F201" s="120"/>
      <c r="G201" s="120"/>
      <c r="H201" s="120"/>
      <c r="I201" s="120"/>
      <c r="J201" s="120"/>
      <c r="L201" s="78"/>
    </row>
    <row r="202" spans="2:12" s="13" customFormat="1" ht="18.75">
      <c r="B202" s="53"/>
      <c r="F202" s="120"/>
      <c r="G202" s="120"/>
      <c r="H202" s="120"/>
      <c r="I202" s="120"/>
      <c r="J202" s="120"/>
      <c r="L202" s="78"/>
    </row>
    <row r="203" spans="2:12" s="13" customFormat="1" ht="18.75">
      <c r="B203" s="53"/>
      <c r="F203" s="120"/>
      <c r="G203" s="120"/>
      <c r="H203" s="120"/>
      <c r="I203" s="120"/>
      <c r="J203" s="120"/>
      <c r="L203" s="78"/>
    </row>
    <row r="204" spans="2:12" s="13" customFormat="1" ht="18.75">
      <c r="B204" s="53"/>
      <c r="F204" s="120"/>
      <c r="G204" s="120"/>
      <c r="H204" s="120"/>
      <c r="I204" s="120"/>
      <c r="J204" s="120"/>
      <c r="L204" s="78"/>
    </row>
    <row r="205" spans="2:12" s="13" customFormat="1" ht="18.75">
      <c r="B205" s="53"/>
      <c r="F205" s="120"/>
      <c r="G205" s="120"/>
      <c r="H205" s="120"/>
      <c r="I205" s="120"/>
      <c r="J205" s="120"/>
      <c r="L205" s="78"/>
    </row>
    <row r="206" spans="2:12" s="13" customFormat="1" ht="18.75">
      <c r="B206" s="53"/>
      <c r="F206" s="120"/>
      <c r="G206" s="120"/>
      <c r="H206" s="120"/>
      <c r="I206" s="120"/>
      <c r="J206" s="120"/>
      <c r="L206" s="78"/>
    </row>
    <row r="207" spans="2:12" s="13" customFormat="1" ht="18.75">
      <c r="B207" s="53"/>
      <c r="F207" s="120"/>
      <c r="G207" s="120"/>
      <c r="H207" s="120"/>
      <c r="I207" s="120"/>
      <c r="J207" s="120"/>
      <c r="L207" s="78"/>
    </row>
    <row r="208" spans="2:12" s="13" customFormat="1" ht="18.75">
      <c r="B208" s="53"/>
      <c r="F208" s="120"/>
      <c r="G208" s="120"/>
      <c r="H208" s="120"/>
      <c r="I208" s="120"/>
      <c r="J208" s="120"/>
      <c r="L208" s="78"/>
    </row>
    <row r="209" spans="2:12" s="13" customFormat="1" ht="18.75">
      <c r="B209" s="53"/>
      <c r="F209" s="120"/>
      <c r="G209" s="120"/>
      <c r="H209" s="120"/>
      <c r="I209" s="120"/>
      <c r="J209" s="120"/>
      <c r="L209" s="78"/>
    </row>
    <row r="210" spans="2:12" s="13" customFormat="1" ht="18.75">
      <c r="B210" s="53"/>
      <c r="F210" s="120"/>
      <c r="G210" s="120"/>
      <c r="H210" s="120"/>
      <c r="I210" s="120"/>
      <c r="J210" s="120"/>
      <c r="L210" s="78"/>
    </row>
    <row r="211" spans="2:12" s="13" customFormat="1" ht="18.75">
      <c r="B211" s="53"/>
      <c r="F211" s="120"/>
      <c r="G211" s="120"/>
      <c r="H211" s="120"/>
      <c r="I211" s="120"/>
      <c r="J211" s="120"/>
      <c r="L211" s="78"/>
    </row>
    <row r="212" spans="2:12" s="13" customFormat="1" ht="18.75">
      <c r="B212" s="53"/>
      <c r="F212" s="120"/>
      <c r="G212" s="120"/>
      <c r="H212" s="120"/>
      <c r="I212" s="120"/>
      <c r="J212" s="120"/>
      <c r="L212" s="78"/>
    </row>
    <row r="213" spans="2:12" s="13" customFormat="1" ht="18.75">
      <c r="B213" s="53"/>
      <c r="F213" s="120"/>
      <c r="G213" s="120"/>
      <c r="H213" s="120"/>
      <c r="I213" s="120"/>
      <c r="J213" s="120"/>
      <c r="L213" s="78"/>
    </row>
    <row r="214" spans="2:12" s="13" customFormat="1" ht="18.75">
      <c r="B214" s="53"/>
      <c r="F214" s="120"/>
      <c r="G214" s="120"/>
      <c r="H214" s="120"/>
      <c r="I214" s="120"/>
      <c r="J214" s="120"/>
      <c r="L214" s="78"/>
    </row>
    <row r="215" spans="2:12" s="13" customFormat="1" ht="18.75">
      <c r="B215" s="53"/>
      <c r="F215" s="120"/>
      <c r="G215" s="120"/>
      <c r="H215" s="120"/>
      <c r="I215" s="120"/>
      <c r="J215" s="120"/>
      <c r="L215" s="78"/>
    </row>
    <row r="216" spans="2:12" s="13" customFormat="1" ht="18.75">
      <c r="B216" s="53"/>
      <c r="F216" s="120"/>
      <c r="G216" s="120"/>
      <c r="H216" s="120"/>
      <c r="I216" s="120"/>
      <c r="J216" s="120"/>
      <c r="L216" s="78"/>
    </row>
    <row r="217" spans="2:12" s="13" customFormat="1" ht="18.75">
      <c r="B217" s="53"/>
      <c r="F217" s="120"/>
      <c r="G217" s="120"/>
      <c r="H217" s="120"/>
      <c r="I217" s="120"/>
      <c r="J217" s="120"/>
      <c r="L217" s="78"/>
    </row>
    <row r="218" spans="2:12" s="13" customFormat="1" ht="18.75">
      <c r="B218" s="53"/>
      <c r="F218" s="120"/>
      <c r="G218" s="120"/>
      <c r="H218" s="120"/>
      <c r="I218" s="120"/>
      <c r="J218" s="120"/>
      <c r="L218" s="78"/>
    </row>
    <row r="219" spans="2:12" s="13" customFormat="1" ht="18.75">
      <c r="B219" s="53"/>
      <c r="F219" s="120"/>
      <c r="G219" s="120"/>
      <c r="H219" s="120"/>
      <c r="I219" s="120"/>
      <c r="J219" s="120"/>
      <c r="L219" s="78"/>
    </row>
    <row r="220" spans="2:12" s="13" customFormat="1" ht="18.75">
      <c r="B220" s="53"/>
      <c r="F220" s="120"/>
      <c r="G220" s="120"/>
      <c r="H220" s="120"/>
      <c r="I220" s="120"/>
      <c r="J220" s="120"/>
      <c r="L220" s="78"/>
    </row>
    <row r="221" spans="2:12" s="13" customFormat="1" ht="18.75">
      <c r="B221" s="53"/>
      <c r="F221" s="120"/>
      <c r="G221" s="120"/>
      <c r="H221" s="120"/>
      <c r="I221" s="120"/>
      <c r="J221" s="120"/>
      <c r="L221" s="78"/>
    </row>
    <row r="222" spans="2:12" s="13" customFormat="1" ht="18.75">
      <c r="B222" s="53"/>
      <c r="F222" s="120"/>
      <c r="G222" s="120"/>
      <c r="H222" s="120"/>
      <c r="I222" s="120"/>
      <c r="J222" s="120"/>
      <c r="L222" s="78"/>
    </row>
    <row r="223" spans="2:12" s="13" customFormat="1" ht="18.75">
      <c r="B223" s="53"/>
      <c r="F223" s="120"/>
      <c r="G223" s="120"/>
      <c r="H223" s="120"/>
      <c r="I223" s="120"/>
      <c r="J223" s="120"/>
      <c r="L223" s="78"/>
    </row>
    <row r="224" spans="2:12" s="13" customFormat="1" ht="18.75">
      <c r="B224" s="53"/>
      <c r="F224" s="120"/>
      <c r="G224" s="120"/>
      <c r="H224" s="120"/>
      <c r="I224" s="120"/>
      <c r="J224" s="120"/>
      <c r="L224" s="78"/>
    </row>
    <row r="225" spans="2:12" s="13" customFormat="1" ht="18.75">
      <c r="B225" s="53"/>
      <c r="F225" s="120"/>
      <c r="G225" s="120"/>
      <c r="H225" s="120"/>
      <c r="I225" s="120"/>
      <c r="J225" s="120"/>
      <c r="L225" s="78"/>
    </row>
    <row r="226" spans="2:12" s="13" customFormat="1" ht="18.75">
      <c r="B226" s="53"/>
      <c r="F226" s="120"/>
      <c r="G226" s="120"/>
      <c r="H226" s="120"/>
      <c r="I226" s="120"/>
      <c r="J226" s="120"/>
      <c r="L226" s="78"/>
    </row>
    <row r="227" spans="2:12" s="13" customFormat="1" ht="18.75">
      <c r="B227" s="53"/>
      <c r="F227" s="120"/>
      <c r="G227" s="120"/>
      <c r="H227" s="120"/>
      <c r="I227" s="120"/>
      <c r="J227" s="120"/>
      <c r="L227" s="78"/>
    </row>
    <row r="228" spans="2:12" s="13" customFormat="1" ht="18.75">
      <c r="B228" s="53"/>
      <c r="F228" s="120"/>
      <c r="G228" s="120"/>
      <c r="H228" s="120"/>
      <c r="I228" s="120"/>
      <c r="J228" s="120"/>
      <c r="L228" s="78"/>
    </row>
    <row r="229" spans="2:12" s="13" customFormat="1" ht="18.75">
      <c r="B229" s="53"/>
      <c r="F229" s="120"/>
      <c r="G229" s="120"/>
      <c r="H229" s="120"/>
      <c r="I229" s="120"/>
      <c r="J229" s="120"/>
      <c r="L229" s="78"/>
    </row>
    <row r="230" spans="2:12" s="13" customFormat="1" ht="18.75">
      <c r="B230" s="53"/>
      <c r="F230" s="120"/>
      <c r="G230" s="120"/>
      <c r="H230" s="120"/>
      <c r="I230" s="120"/>
      <c r="J230" s="120"/>
      <c r="L230" s="78"/>
    </row>
    <row r="231" spans="2:12" s="13" customFormat="1" ht="18.75">
      <c r="B231" s="53"/>
      <c r="F231" s="120"/>
      <c r="G231" s="120"/>
      <c r="H231" s="120"/>
      <c r="I231" s="120"/>
      <c r="J231" s="120"/>
      <c r="L231" s="78"/>
    </row>
    <row r="232" spans="2:12" s="13" customFormat="1" ht="18.75">
      <c r="B232" s="53"/>
      <c r="F232" s="120"/>
      <c r="G232" s="120"/>
      <c r="H232" s="120"/>
      <c r="I232" s="120"/>
      <c r="J232" s="120"/>
      <c r="L232" s="78"/>
    </row>
    <row r="233" spans="2:12" s="13" customFormat="1" ht="18.75">
      <c r="B233" s="53"/>
      <c r="F233" s="120"/>
      <c r="G233" s="120"/>
      <c r="H233" s="120"/>
      <c r="I233" s="120"/>
      <c r="J233" s="120"/>
      <c r="L233" s="78"/>
    </row>
    <row r="234" spans="2:12" s="13" customFormat="1" ht="18.75">
      <c r="B234" s="53"/>
      <c r="F234" s="120"/>
      <c r="G234" s="120"/>
      <c r="H234" s="120"/>
      <c r="I234" s="120"/>
      <c r="J234" s="120"/>
      <c r="L234" s="78"/>
    </row>
    <row r="235" spans="2:12" s="13" customFormat="1" ht="18.75">
      <c r="B235" s="53"/>
      <c r="F235" s="120"/>
      <c r="G235" s="120"/>
      <c r="H235" s="120"/>
      <c r="I235" s="120"/>
      <c r="J235" s="120"/>
      <c r="L235" s="78"/>
    </row>
    <row r="236" spans="2:12" s="13" customFormat="1" ht="18.75">
      <c r="B236" s="53"/>
      <c r="F236" s="120"/>
      <c r="G236" s="120"/>
      <c r="H236" s="120"/>
      <c r="I236" s="120"/>
      <c r="J236" s="120"/>
      <c r="L236" s="78"/>
    </row>
    <row r="237" spans="2:12" s="13" customFormat="1" ht="18.75">
      <c r="B237" s="53"/>
      <c r="F237" s="120"/>
      <c r="G237" s="120"/>
      <c r="H237" s="120"/>
      <c r="I237" s="120"/>
      <c r="J237" s="120"/>
      <c r="L237" s="78"/>
    </row>
    <row r="238" spans="2:12" s="13" customFormat="1" ht="18.75">
      <c r="B238" s="53"/>
      <c r="F238" s="120"/>
      <c r="G238" s="120"/>
      <c r="H238" s="120"/>
      <c r="I238" s="120"/>
      <c r="J238" s="120"/>
      <c r="L238" s="78"/>
    </row>
    <row r="239" spans="2:12" s="13" customFormat="1" ht="18.75">
      <c r="B239" s="53"/>
      <c r="F239" s="120"/>
      <c r="G239" s="120"/>
      <c r="H239" s="120"/>
      <c r="I239" s="120"/>
      <c r="J239" s="120"/>
      <c r="L239" s="78"/>
    </row>
    <row r="240" spans="2:12" s="13" customFormat="1" ht="18.75">
      <c r="B240" s="53"/>
      <c r="F240" s="120"/>
      <c r="G240" s="120"/>
      <c r="H240" s="120"/>
      <c r="I240" s="120"/>
      <c r="J240" s="120"/>
      <c r="L240" s="78"/>
    </row>
    <row r="241" spans="2:12" s="13" customFormat="1" ht="18.75">
      <c r="B241" s="53"/>
      <c r="F241" s="120"/>
      <c r="G241" s="120"/>
      <c r="H241" s="120"/>
      <c r="I241" s="120"/>
      <c r="J241" s="120"/>
      <c r="L241" s="78"/>
    </row>
    <row r="242" spans="2:12" s="13" customFormat="1" ht="18.75">
      <c r="B242" s="53"/>
      <c r="F242" s="120"/>
      <c r="G242" s="120"/>
      <c r="H242" s="120"/>
      <c r="I242" s="120"/>
      <c r="J242" s="120"/>
      <c r="L242" s="78"/>
    </row>
    <row r="243" spans="2:12" s="13" customFormat="1" ht="18.75">
      <c r="B243" s="53"/>
      <c r="F243" s="120"/>
      <c r="G243" s="120"/>
      <c r="H243" s="120"/>
      <c r="I243" s="120"/>
      <c r="J243" s="120"/>
      <c r="L243" s="78"/>
    </row>
    <row r="244" spans="2:12" s="13" customFormat="1" ht="18.75">
      <c r="B244" s="53"/>
      <c r="F244" s="120"/>
      <c r="G244" s="120"/>
      <c r="H244" s="120"/>
      <c r="I244" s="120"/>
      <c r="J244" s="120"/>
      <c r="L244" s="78"/>
    </row>
    <row r="245" spans="2:12" s="13" customFormat="1" ht="18.75">
      <c r="B245" s="53"/>
      <c r="F245" s="120"/>
      <c r="G245" s="120"/>
      <c r="H245" s="120"/>
      <c r="I245" s="120"/>
      <c r="J245" s="120"/>
      <c r="L245" s="78"/>
    </row>
    <row r="246" spans="2:12" s="13" customFormat="1" ht="18.75">
      <c r="B246" s="53"/>
      <c r="F246" s="120"/>
      <c r="G246" s="120"/>
      <c r="H246" s="120"/>
      <c r="I246" s="120"/>
      <c r="J246" s="120"/>
      <c r="L246" s="78"/>
    </row>
    <row r="247" spans="2:12" s="13" customFormat="1" ht="18.75">
      <c r="B247" s="53"/>
      <c r="F247" s="120"/>
      <c r="G247" s="120"/>
      <c r="H247" s="120"/>
      <c r="I247" s="120"/>
      <c r="J247" s="120"/>
      <c r="L247" s="78"/>
    </row>
    <row r="248" spans="2:12" s="13" customFormat="1" ht="18.75">
      <c r="B248" s="53"/>
      <c r="F248" s="120"/>
      <c r="G248" s="120"/>
      <c r="H248" s="120"/>
      <c r="I248" s="120"/>
      <c r="J248" s="120"/>
      <c r="L248" s="78"/>
    </row>
    <row r="249" spans="2:12" s="13" customFormat="1" ht="18.75">
      <c r="B249" s="53"/>
      <c r="F249" s="120"/>
      <c r="G249" s="120"/>
      <c r="H249" s="120"/>
      <c r="I249" s="120"/>
      <c r="J249" s="120"/>
      <c r="L249" s="78"/>
    </row>
    <row r="250" spans="2:12" s="13" customFormat="1" ht="18.75">
      <c r="B250" s="53"/>
      <c r="F250" s="120"/>
      <c r="G250" s="120"/>
      <c r="H250" s="120"/>
      <c r="I250" s="120"/>
      <c r="J250" s="120"/>
      <c r="L250" s="78"/>
    </row>
    <row r="251" spans="2:12" s="13" customFormat="1" ht="18.75">
      <c r="B251" s="53"/>
      <c r="F251" s="120"/>
      <c r="G251" s="120"/>
      <c r="H251" s="120"/>
      <c r="I251" s="120"/>
      <c r="J251" s="120"/>
      <c r="L251" s="78"/>
    </row>
    <row r="252" spans="2:12" s="13" customFormat="1" ht="18.75">
      <c r="B252" s="53"/>
      <c r="F252" s="120"/>
      <c r="G252" s="120"/>
      <c r="H252" s="120"/>
      <c r="I252" s="120"/>
      <c r="J252" s="120"/>
      <c r="L252" s="78"/>
    </row>
    <row r="253" spans="2:12" s="13" customFormat="1" ht="18.75">
      <c r="B253" s="53"/>
      <c r="F253" s="120"/>
      <c r="G253" s="120"/>
      <c r="H253" s="120"/>
      <c r="I253" s="120"/>
      <c r="J253" s="120"/>
      <c r="L253" s="78"/>
    </row>
    <row r="254" spans="2:12" s="13" customFormat="1" ht="18.75">
      <c r="B254" s="53"/>
      <c r="F254" s="120"/>
      <c r="G254" s="120"/>
      <c r="H254" s="120"/>
      <c r="I254" s="120"/>
      <c r="J254" s="120"/>
      <c r="L254" s="78"/>
    </row>
    <row r="255" spans="2:12" s="13" customFormat="1" ht="18.75">
      <c r="B255" s="53"/>
      <c r="F255" s="120"/>
      <c r="G255" s="120"/>
      <c r="H255" s="120"/>
      <c r="I255" s="120"/>
      <c r="J255" s="120"/>
      <c r="L255" s="78"/>
    </row>
    <row r="256" spans="2:12" s="13" customFormat="1" ht="18.75">
      <c r="B256" s="53"/>
      <c r="F256" s="120"/>
      <c r="G256" s="120"/>
      <c r="H256" s="120"/>
      <c r="I256" s="120"/>
      <c r="J256" s="120"/>
      <c r="L256" s="78"/>
    </row>
    <row r="257" spans="2:12" s="13" customFormat="1" ht="18.75">
      <c r="B257" s="53"/>
      <c r="F257" s="120"/>
      <c r="G257" s="120"/>
      <c r="H257" s="120"/>
      <c r="I257" s="120"/>
      <c r="J257" s="120"/>
      <c r="L257" s="78"/>
    </row>
    <row r="258" spans="2:12" s="13" customFormat="1" ht="18.75">
      <c r="B258" s="53"/>
      <c r="F258" s="120"/>
      <c r="G258" s="120"/>
      <c r="H258" s="120"/>
      <c r="I258" s="120"/>
      <c r="J258" s="120"/>
      <c r="L258" s="78"/>
    </row>
    <row r="259" spans="2:12" s="13" customFormat="1" ht="18.75">
      <c r="B259" s="53"/>
      <c r="F259" s="120"/>
      <c r="G259" s="120"/>
      <c r="H259" s="120"/>
      <c r="I259" s="120"/>
      <c r="J259" s="120"/>
      <c r="L259" s="78"/>
    </row>
    <row r="260" spans="2:12" s="13" customFormat="1" ht="18.75">
      <c r="B260" s="53"/>
      <c r="F260" s="120"/>
      <c r="G260" s="120"/>
      <c r="H260" s="120"/>
      <c r="I260" s="120"/>
      <c r="J260" s="120"/>
      <c r="L260" s="78"/>
    </row>
    <row r="261" spans="2:12" s="13" customFormat="1" ht="18.75">
      <c r="B261" s="53"/>
      <c r="F261" s="120"/>
      <c r="G261" s="120"/>
      <c r="H261" s="120"/>
      <c r="I261" s="120"/>
      <c r="J261" s="120"/>
      <c r="L261" s="78"/>
    </row>
    <row r="262" spans="2:12" s="13" customFormat="1" ht="18.75">
      <c r="B262" s="53"/>
      <c r="F262" s="120"/>
      <c r="G262" s="120"/>
      <c r="H262" s="120"/>
      <c r="I262" s="120"/>
      <c r="J262" s="120"/>
      <c r="L262" s="78"/>
    </row>
    <row r="263" spans="2:12" s="13" customFormat="1" ht="18.75">
      <c r="B263" s="53"/>
      <c r="F263" s="120"/>
      <c r="G263" s="120"/>
      <c r="H263" s="120"/>
      <c r="I263" s="120"/>
      <c r="J263" s="120"/>
      <c r="L263" s="78"/>
    </row>
    <row r="264" spans="2:12" s="13" customFormat="1" ht="18.75">
      <c r="B264" s="53"/>
      <c r="F264" s="120"/>
      <c r="G264" s="120"/>
      <c r="H264" s="120"/>
      <c r="I264" s="120"/>
      <c r="J264" s="120"/>
      <c r="L264" s="78"/>
    </row>
    <row r="265" spans="2:12" s="13" customFormat="1" ht="18.75">
      <c r="B265" s="53"/>
      <c r="F265" s="120"/>
      <c r="G265" s="120"/>
      <c r="H265" s="120"/>
      <c r="I265" s="120"/>
      <c r="J265" s="120"/>
      <c r="L265" s="78"/>
    </row>
    <row r="266" spans="2:12" s="13" customFormat="1" ht="18.75">
      <c r="B266" s="53"/>
      <c r="F266" s="120"/>
      <c r="G266" s="120"/>
      <c r="H266" s="120"/>
      <c r="I266" s="120"/>
      <c r="J266" s="120"/>
      <c r="L266" s="78"/>
    </row>
    <row r="267" spans="2:12" s="13" customFormat="1" ht="18.75">
      <c r="B267" s="53"/>
      <c r="F267" s="120"/>
      <c r="G267" s="120"/>
      <c r="H267" s="120"/>
      <c r="I267" s="120"/>
      <c r="J267" s="120"/>
      <c r="L267" s="78"/>
    </row>
    <row r="268" spans="2:12" s="13" customFormat="1" ht="18.75">
      <c r="B268" s="53"/>
      <c r="F268" s="120"/>
      <c r="G268" s="120"/>
      <c r="H268" s="120"/>
      <c r="I268" s="120"/>
      <c r="J268" s="120"/>
      <c r="L268" s="78"/>
    </row>
    <row r="269" spans="2:12" s="13" customFormat="1" ht="18.75">
      <c r="B269" s="53"/>
      <c r="F269" s="120"/>
      <c r="G269" s="120"/>
      <c r="H269" s="120"/>
      <c r="I269" s="120"/>
      <c r="J269" s="120"/>
      <c r="L269" s="78"/>
    </row>
    <row r="270" spans="2:12" s="13" customFormat="1" ht="18.75">
      <c r="B270" s="53"/>
      <c r="F270" s="120"/>
      <c r="G270" s="120"/>
      <c r="H270" s="120"/>
      <c r="I270" s="120"/>
      <c r="J270" s="120"/>
      <c r="L270" s="78"/>
    </row>
    <row r="271" spans="2:12" s="13" customFormat="1" ht="18.75">
      <c r="B271" s="53"/>
      <c r="F271" s="120"/>
      <c r="G271" s="120"/>
      <c r="H271" s="120"/>
      <c r="I271" s="120"/>
      <c r="J271" s="120"/>
      <c r="L271" s="78"/>
    </row>
    <row r="272" spans="2:12" s="13" customFormat="1" ht="18.75">
      <c r="B272" s="53"/>
      <c r="F272" s="120"/>
      <c r="G272" s="120"/>
      <c r="H272" s="120"/>
      <c r="I272" s="120"/>
      <c r="J272" s="120"/>
      <c r="L272" s="78"/>
    </row>
    <row r="273" spans="2:12" s="13" customFormat="1" ht="18.75">
      <c r="B273" s="53"/>
      <c r="F273" s="120"/>
      <c r="G273" s="120"/>
      <c r="H273" s="120"/>
      <c r="I273" s="120"/>
      <c r="J273" s="120"/>
      <c r="L273" s="78"/>
    </row>
    <row r="274" spans="2:12" s="13" customFormat="1" ht="18.75">
      <c r="B274" s="53"/>
      <c r="F274" s="120"/>
      <c r="G274" s="120"/>
      <c r="H274" s="120"/>
      <c r="I274" s="120"/>
      <c r="J274" s="120"/>
      <c r="L274" s="78"/>
    </row>
    <row r="275" spans="2:12" s="13" customFormat="1" ht="18.75">
      <c r="B275" s="53"/>
      <c r="F275" s="120"/>
      <c r="G275" s="120"/>
      <c r="H275" s="120"/>
      <c r="I275" s="120"/>
      <c r="J275" s="120"/>
      <c r="L275" s="78"/>
    </row>
    <row r="276" spans="2:12" s="13" customFormat="1" ht="18.75">
      <c r="B276" s="53"/>
      <c r="F276" s="120"/>
      <c r="G276" s="120"/>
      <c r="H276" s="120"/>
      <c r="I276" s="120"/>
      <c r="J276" s="120"/>
      <c r="L276" s="78"/>
    </row>
    <row r="277" spans="2:12" s="13" customFormat="1" ht="18.75">
      <c r="B277" s="53"/>
      <c r="F277" s="120"/>
      <c r="G277" s="120"/>
      <c r="H277" s="120"/>
      <c r="I277" s="120"/>
      <c r="J277" s="120"/>
      <c r="L277" s="78"/>
    </row>
    <row r="278" spans="2:12" s="13" customFormat="1" ht="18.75">
      <c r="B278" s="53"/>
      <c r="F278" s="120"/>
      <c r="G278" s="120"/>
      <c r="H278" s="120"/>
      <c r="I278" s="120"/>
      <c r="J278" s="120"/>
      <c r="L278" s="78"/>
    </row>
    <row r="279" spans="2:12" s="13" customFormat="1" ht="18.75">
      <c r="B279" s="53"/>
      <c r="F279" s="120"/>
      <c r="G279" s="120"/>
      <c r="H279" s="120"/>
      <c r="I279" s="120"/>
      <c r="J279" s="120"/>
      <c r="L279" s="78"/>
    </row>
    <row r="280" spans="2:12" s="13" customFormat="1" ht="18.75">
      <c r="B280" s="53"/>
      <c r="F280" s="120"/>
      <c r="G280" s="120"/>
      <c r="H280" s="120"/>
      <c r="I280" s="120"/>
      <c r="J280" s="120"/>
      <c r="L280" s="78"/>
    </row>
    <row r="281" spans="2:12" s="13" customFormat="1" ht="18.75">
      <c r="B281" s="53"/>
      <c r="F281" s="120"/>
      <c r="G281" s="120"/>
      <c r="H281" s="120"/>
      <c r="I281" s="120"/>
      <c r="J281" s="120"/>
      <c r="L281" s="78"/>
    </row>
    <row r="282" spans="2:12" s="13" customFormat="1" ht="18.75">
      <c r="B282" s="53"/>
      <c r="F282" s="120"/>
      <c r="G282" s="120"/>
      <c r="H282" s="120"/>
      <c r="I282" s="120"/>
      <c r="J282" s="120"/>
      <c r="L282" s="78"/>
    </row>
    <row r="283" spans="2:12" s="13" customFormat="1" ht="18.75">
      <c r="B283" s="53"/>
      <c r="F283" s="120"/>
      <c r="G283" s="120"/>
      <c r="H283" s="120"/>
      <c r="I283" s="120"/>
      <c r="J283" s="120"/>
      <c r="L283" s="78"/>
    </row>
    <row r="284" spans="2:12" s="13" customFormat="1" ht="18.75">
      <c r="B284" s="53"/>
      <c r="F284" s="120"/>
      <c r="G284" s="120"/>
      <c r="H284" s="120"/>
      <c r="I284" s="120"/>
      <c r="J284" s="120"/>
      <c r="L284" s="78"/>
    </row>
    <row r="285" spans="2:12" s="13" customFormat="1" ht="18.75">
      <c r="B285" s="53"/>
      <c r="F285" s="120"/>
      <c r="G285" s="120"/>
      <c r="H285" s="120"/>
      <c r="I285" s="120"/>
      <c r="J285" s="120"/>
      <c r="L285" s="78"/>
    </row>
    <row r="286" spans="2:12" s="13" customFormat="1" ht="18.75">
      <c r="B286" s="53"/>
      <c r="F286" s="120"/>
      <c r="G286" s="120"/>
      <c r="H286" s="120"/>
      <c r="I286" s="120"/>
      <c r="J286" s="120"/>
      <c r="L286" s="78"/>
    </row>
    <row r="287" spans="2:12" s="13" customFormat="1" ht="18.75">
      <c r="B287" s="53"/>
      <c r="F287" s="120"/>
      <c r="G287" s="120"/>
      <c r="H287" s="120"/>
      <c r="I287" s="120"/>
      <c r="J287" s="120"/>
      <c r="L287" s="78"/>
    </row>
    <row r="288" spans="2:12" s="13" customFormat="1" ht="18.75">
      <c r="B288" s="53"/>
      <c r="F288" s="120"/>
      <c r="G288" s="120"/>
      <c r="H288" s="120"/>
      <c r="I288" s="120"/>
      <c r="J288" s="120"/>
      <c r="L288" s="78"/>
    </row>
    <row r="289" spans="2:12" s="13" customFormat="1" ht="18.75">
      <c r="B289" s="53"/>
      <c r="F289" s="120"/>
      <c r="G289" s="120"/>
      <c r="H289" s="120"/>
      <c r="I289" s="120"/>
      <c r="J289" s="120"/>
      <c r="L289" s="78"/>
    </row>
    <row r="290" spans="2:12" s="13" customFormat="1" ht="18.75">
      <c r="B290" s="53"/>
      <c r="F290" s="120"/>
      <c r="G290" s="120"/>
      <c r="H290" s="120"/>
      <c r="I290" s="120"/>
      <c r="J290" s="120"/>
      <c r="L290" s="78"/>
    </row>
    <row r="291" spans="2:12" s="13" customFormat="1" ht="18.75">
      <c r="B291" s="53"/>
      <c r="F291" s="120"/>
      <c r="G291" s="120"/>
      <c r="H291" s="120"/>
      <c r="I291" s="120"/>
      <c r="J291" s="120"/>
      <c r="L291" s="78"/>
    </row>
    <row r="292" spans="2:12" s="13" customFormat="1" ht="18.75">
      <c r="B292" s="53"/>
      <c r="F292" s="120"/>
      <c r="G292" s="120"/>
      <c r="H292" s="120"/>
      <c r="I292" s="120"/>
      <c r="J292" s="120"/>
      <c r="L292" s="78"/>
    </row>
    <row r="293" spans="2:12" s="13" customFormat="1" ht="18.75">
      <c r="B293" s="53"/>
      <c r="F293" s="120"/>
      <c r="G293" s="120"/>
      <c r="H293" s="120"/>
      <c r="I293" s="120"/>
      <c r="J293" s="120"/>
      <c r="L293" s="78"/>
    </row>
    <row r="294" spans="2:12" s="13" customFormat="1" ht="18.75">
      <c r="B294" s="53"/>
      <c r="F294" s="120"/>
      <c r="G294" s="120"/>
      <c r="H294" s="120"/>
      <c r="I294" s="120"/>
      <c r="J294" s="120"/>
      <c r="L294" s="78"/>
    </row>
    <row r="295" spans="2:12" s="13" customFormat="1" ht="18.75">
      <c r="B295" s="53"/>
      <c r="F295" s="120"/>
      <c r="G295" s="120"/>
      <c r="H295" s="120"/>
      <c r="I295" s="120"/>
      <c r="J295" s="120"/>
      <c r="L295" s="78"/>
    </row>
    <row r="296" spans="2:12" s="13" customFormat="1" ht="18.75">
      <c r="B296" s="53"/>
      <c r="F296" s="120"/>
      <c r="G296" s="120"/>
      <c r="H296" s="120"/>
      <c r="I296" s="120"/>
      <c r="J296" s="120"/>
      <c r="L296" s="78"/>
    </row>
    <row r="297" spans="2:12" s="13" customFormat="1" ht="18.75">
      <c r="B297" s="53"/>
      <c r="F297" s="120"/>
      <c r="G297" s="120"/>
      <c r="H297" s="120"/>
      <c r="I297" s="120"/>
      <c r="J297" s="120"/>
      <c r="L297" s="78"/>
    </row>
    <row r="298" spans="2:12" s="13" customFormat="1" ht="18.75">
      <c r="B298" s="53"/>
      <c r="F298" s="120"/>
      <c r="G298" s="120"/>
      <c r="H298" s="120"/>
      <c r="I298" s="120"/>
      <c r="J298" s="120"/>
      <c r="L298" s="78"/>
    </row>
    <row r="299" spans="2:12" s="13" customFormat="1" ht="18.75">
      <c r="B299" s="53"/>
      <c r="F299" s="120"/>
      <c r="G299" s="120"/>
      <c r="H299" s="120"/>
      <c r="I299" s="120"/>
      <c r="J299" s="120"/>
      <c r="L299" s="78"/>
    </row>
    <row r="300" spans="2:12" s="13" customFormat="1" ht="18.75">
      <c r="B300" s="53"/>
      <c r="F300" s="120"/>
      <c r="G300" s="120"/>
      <c r="H300" s="120"/>
      <c r="I300" s="120"/>
      <c r="J300" s="120"/>
      <c r="L300" s="78"/>
    </row>
    <row r="301" spans="2:12" s="13" customFormat="1" ht="18.75">
      <c r="B301" s="53"/>
      <c r="F301" s="120"/>
      <c r="G301" s="120"/>
      <c r="H301" s="120"/>
      <c r="I301" s="120"/>
      <c r="J301" s="120"/>
      <c r="L301" s="78"/>
    </row>
    <row r="302" spans="2:12" s="13" customFormat="1" ht="18.75">
      <c r="B302" s="53"/>
      <c r="F302" s="120"/>
      <c r="G302" s="120"/>
      <c r="H302" s="120"/>
      <c r="I302" s="120"/>
      <c r="J302" s="120"/>
      <c r="L302" s="78"/>
    </row>
    <row r="303" spans="2:12" s="13" customFormat="1" ht="18.75">
      <c r="B303" s="53"/>
      <c r="F303" s="120"/>
      <c r="G303" s="120"/>
      <c r="H303" s="120"/>
      <c r="I303" s="120"/>
      <c r="J303" s="120"/>
      <c r="L303" s="78"/>
    </row>
    <row r="304" spans="2:12" s="13" customFormat="1" ht="18.75">
      <c r="B304" s="53"/>
      <c r="F304" s="120"/>
      <c r="G304" s="120"/>
      <c r="H304" s="120"/>
      <c r="I304" s="120"/>
      <c r="J304" s="120"/>
      <c r="L304" s="78"/>
    </row>
    <row r="305" spans="2:12" s="13" customFormat="1" ht="18.75">
      <c r="B305" s="53"/>
      <c r="F305" s="120"/>
      <c r="G305" s="120"/>
      <c r="H305" s="120"/>
      <c r="I305" s="120"/>
      <c r="J305" s="120"/>
      <c r="L305" s="78"/>
    </row>
    <row r="306" spans="2:12" s="13" customFormat="1" ht="18.75">
      <c r="B306" s="53"/>
      <c r="F306" s="120"/>
      <c r="G306" s="120"/>
      <c r="H306" s="120"/>
      <c r="I306" s="120"/>
      <c r="J306" s="120"/>
      <c r="L306" s="78"/>
    </row>
    <row r="307" spans="2:12" s="13" customFormat="1" ht="18.75">
      <c r="B307" s="53"/>
      <c r="F307" s="120"/>
      <c r="G307" s="120"/>
      <c r="H307" s="120"/>
      <c r="I307" s="120"/>
      <c r="J307" s="120"/>
      <c r="L307" s="78"/>
    </row>
    <row r="308" spans="2:12" s="13" customFormat="1" ht="18.75">
      <c r="B308" s="53"/>
      <c r="F308" s="120"/>
      <c r="G308" s="120"/>
      <c r="H308" s="120"/>
      <c r="I308" s="120"/>
      <c r="J308" s="120"/>
      <c r="L308" s="78"/>
    </row>
    <row r="309" spans="2:12" s="13" customFormat="1" ht="18.75">
      <c r="B309" s="53"/>
      <c r="F309" s="120"/>
      <c r="G309" s="120"/>
      <c r="H309" s="120"/>
      <c r="I309" s="120"/>
      <c r="J309" s="120"/>
      <c r="L309" s="78"/>
    </row>
    <row r="310" spans="2:12" s="13" customFormat="1" ht="18.75">
      <c r="B310" s="53"/>
      <c r="F310" s="120"/>
      <c r="G310" s="120"/>
      <c r="H310" s="120"/>
      <c r="I310" s="120"/>
      <c r="J310" s="120"/>
      <c r="L310" s="78"/>
    </row>
    <row r="311" spans="2:12" s="13" customFormat="1" ht="18.75">
      <c r="B311" s="53"/>
      <c r="F311" s="120"/>
      <c r="G311" s="120"/>
      <c r="H311" s="120"/>
      <c r="I311" s="120"/>
      <c r="J311" s="120"/>
      <c r="L311" s="78"/>
    </row>
    <row r="312" spans="2:12" s="13" customFormat="1" ht="18.75">
      <c r="B312" s="53"/>
      <c r="F312" s="120"/>
      <c r="G312" s="120"/>
      <c r="H312" s="120"/>
      <c r="I312" s="120"/>
      <c r="J312" s="120"/>
      <c r="L312" s="78"/>
    </row>
    <row r="313" spans="2:12" s="13" customFormat="1" ht="18.75">
      <c r="B313" s="53"/>
      <c r="F313" s="120"/>
      <c r="G313" s="120"/>
      <c r="H313" s="120"/>
      <c r="I313" s="120"/>
      <c r="J313" s="120"/>
      <c r="L313" s="78"/>
    </row>
    <row r="314" spans="2:12" s="13" customFormat="1" ht="18.75">
      <c r="B314" s="53"/>
      <c r="F314" s="120"/>
      <c r="G314" s="120"/>
      <c r="H314" s="120"/>
      <c r="I314" s="120"/>
      <c r="J314" s="120"/>
      <c r="L314" s="78"/>
    </row>
    <row r="315" spans="2:12" s="13" customFormat="1" ht="18.75">
      <c r="B315" s="53"/>
      <c r="F315" s="120"/>
      <c r="G315" s="120"/>
      <c r="H315" s="120"/>
      <c r="I315" s="120"/>
      <c r="J315" s="120"/>
      <c r="L315" s="78"/>
    </row>
    <row r="316" spans="2:12" s="13" customFormat="1" ht="18.75">
      <c r="B316" s="53"/>
      <c r="F316" s="120"/>
      <c r="G316" s="120"/>
      <c r="H316" s="120"/>
      <c r="I316" s="120"/>
      <c r="J316" s="120"/>
      <c r="L316" s="78"/>
    </row>
    <row r="317" spans="2:12" s="13" customFormat="1" ht="18.75">
      <c r="B317" s="53"/>
      <c r="F317" s="120"/>
      <c r="G317" s="120"/>
      <c r="H317" s="120"/>
      <c r="I317" s="120"/>
      <c r="J317" s="120"/>
      <c r="L317" s="78"/>
    </row>
    <row r="318" spans="2:12" s="13" customFormat="1" ht="18.75">
      <c r="B318" s="53"/>
      <c r="F318" s="120"/>
      <c r="G318" s="120"/>
      <c r="H318" s="120"/>
      <c r="I318" s="120"/>
      <c r="J318" s="120"/>
      <c r="L318" s="78"/>
    </row>
    <row r="319" spans="2:12" s="13" customFormat="1" ht="18.75">
      <c r="B319" s="53"/>
      <c r="F319" s="120"/>
      <c r="G319" s="120"/>
      <c r="H319" s="120"/>
      <c r="I319" s="120"/>
      <c r="J319" s="120"/>
      <c r="L319" s="78"/>
    </row>
    <row r="320" spans="2:12" s="13" customFormat="1" ht="18.75">
      <c r="B320" s="53"/>
      <c r="F320" s="120"/>
      <c r="G320" s="120"/>
      <c r="H320" s="120"/>
      <c r="I320" s="120"/>
      <c r="J320" s="120"/>
      <c r="L320" s="78"/>
    </row>
    <row r="321" spans="2:12" s="13" customFormat="1" ht="18.75">
      <c r="B321" s="53"/>
      <c r="F321" s="120"/>
      <c r="G321" s="120"/>
      <c r="H321" s="120"/>
      <c r="I321" s="120"/>
      <c r="J321" s="120"/>
      <c r="L321" s="78"/>
    </row>
    <row r="322" spans="2:12" s="13" customFormat="1" ht="18.75">
      <c r="B322" s="53"/>
      <c r="F322" s="120"/>
      <c r="G322" s="120"/>
      <c r="H322" s="120"/>
      <c r="I322" s="120"/>
      <c r="J322" s="120"/>
      <c r="L322" s="78"/>
    </row>
    <row r="323" spans="2:12" s="13" customFormat="1" ht="18.75">
      <c r="B323" s="53"/>
      <c r="F323" s="120"/>
      <c r="G323" s="120"/>
      <c r="H323" s="120"/>
      <c r="I323" s="120"/>
      <c r="J323" s="120"/>
      <c r="L323" s="78"/>
    </row>
    <row r="324" spans="11:25" ht="18.75">
      <c r="K324" s="13"/>
      <c r="L324" s="78"/>
      <c r="M324" s="13"/>
      <c r="N324" s="13"/>
      <c r="O324" s="13"/>
      <c r="P324" s="13"/>
      <c r="Q324" s="13"/>
      <c r="R324" s="13"/>
      <c r="S324" s="13"/>
      <c r="T324" s="13"/>
      <c r="U324" s="13"/>
      <c r="V324" s="13"/>
      <c r="W324" s="13"/>
      <c r="X324" s="13"/>
      <c r="Y324" s="13"/>
    </row>
    <row r="325" spans="11:25" ht="18.75">
      <c r="K325" s="13"/>
      <c r="L325" s="78"/>
      <c r="M325" s="13"/>
      <c r="N325" s="13"/>
      <c r="O325" s="13"/>
      <c r="P325" s="13"/>
      <c r="Q325" s="13"/>
      <c r="R325" s="13"/>
      <c r="S325" s="13"/>
      <c r="T325" s="13"/>
      <c r="U325" s="13"/>
      <c r="V325" s="13"/>
      <c r="W325" s="13"/>
      <c r="X325" s="13"/>
      <c r="Y325" s="13"/>
    </row>
    <row r="326" spans="11:25" ht="18.75">
      <c r="K326" s="13"/>
      <c r="L326" s="78"/>
      <c r="M326" s="13"/>
      <c r="N326" s="13"/>
      <c r="O326" s="13"/>
      <c r="P326" s="13"/>
      <c r="Q326" s="13"/>
      <c r="R326" s="13"/>
      <c r="S326" s="13"/>
      <c r="T326" s="13"/>
      <c r="U326" s="13"/>
      <c r="V326" s="13"/>
      <c r="W326" s="13"/>
      <c r="X326" s="13"/>
      <c r="Y326" s="13"/>
    </row>
    <row r="327" spans="11:23" ht="18.75">
      <c r="K327" s="13"/>
      <c r="Q327" s="13"/>
      <c r="R327" s="13"/>
      <c r="S327" s="13"/>
      <c r="T327" s="13"/>
      <c r="U327" s="13"/>
      <c r="V327" s="13"/>
      <c r="W327" s="13"/>
    </row>
    <row r="328" spans="11:23" ht="18.75">
      <c r="K328" s="13"/>
      <c r="Q328" s="13"/>
      <c r="R328" s="13"/>
      <c r="S328" s="13"/>
      <c r="T328" s="13"/>
      <c r="U328" s="13"/>
      <c r="V328" s="13"/>
      <c r="W328" s="13"/>
    </row>
    <row r="329" spans="17:18" ht="18.75">
      <c r="Q329" s="13"/>
      <c r="R329" s="13"/>
    </row>
    <row r="330" spans="17:18" ht="18.75">
      <c r="Q330" s="13"/>
      <c r="R330" s="13"/>
    </row>
    <row r="331" spans="17:18" ht="18.75">
      <c r="Q331" s="13"/>
      <c r="R331" s="13"/>
    </row>
  </sheetData>
  <sheetProtection/>
  <mergeCells count="42">
    <mergeCell ref="F3:I3"/>
    <mergeCell ref="F1:H1"/>
    <mergeCell ref="H11:I11"/>
    <mergeCell ref="C13:F13"/>
    <mergeCell ref="I13:J13"/>
    <mergeCell ref="C14:G14"/>
    <mergeCell ref="C15:F15"/>
    <mergeCell ref="C16:F16"/>
    <mergeCell ref="C17:F17"/>
    <mergeCell ref="C18:F18"/>
    <mergeCell ref="C19:F19"/>
    <mergeCell ref="C20:F20"/>
    <mergeCell ref="G20:I20"/>
    <mergeCell ref="C21:F21"/>
    <mergeCell ref="G21:I21"/>
    <mergeCell ref="C22:F22"/>
    <mergeCell ref="C23:J23"/>
    <mergeCell ref="C24:F24"/>
    <mergeCell ref="C25:F25"/>
    <mergeCell ref="B27:J27"/>
    <mergeCell ref="B28:J28"/>
    <mergeCell ref="B30:B31"/>
    <mergeCell ref="C30:C31"/>
    <mergeCell ref="D30:D31"/>
    <mergeCell ref="E30:E31"/>
    <mergeCell ref="F30:F31"/>
    <mergeCell ref="G30:J30"/>
    <mergeCell ref="B33:J33"/>
    <mergeCell ref="B34:J34"/>
    <mergeCell ref="B107:C107"/>
    <mergeCell ref="N109:N111"/>
    <mergeCell ref="P109:P111"/>
    <mergeCell ref="N112:N114"/>
    <mergeCell ref="P112:P114"/>
    <mergeCell ref="D114:F114"/>
    <mergeCell ref="H114:J114"/>
    <mergeCell ref="D115:F115"/>
    <mergeCell ref="H115:J115"/>
    <mergeCell ref="N115:N117"/>
    <mergeCell ref="P115:P117"/>
    <mergeCell ref="N118:N120"/>
    <mergeCell ref="P118:P120"/>
  </mergeCells>
  <printOptions/>
  <pageMargins left="0.3937007874015748" right="0.1968503937007874" top="0.3937007874015748" bottom="0.3937007874015748" header="0.1968503937007874" footer="0.1968503937007874"/>
  <pageSetup fitToHeight="0" fitToWidth="1" horizontalDpi="600" verticalDpi="600" orientation="portrait" paperSize="9" scale="15" r:id="rId1"/>
</worksheet>
</file>

<file path=xl/worksheets/sheet6.xml><?xml version="1.0" encoding="utf-8"?>
<worksheet xmlns="http://schemas.openxmlformats.org/spreadsheetml/2006/main" xmlns:r="http://schemas.openxmlformats.org/officeDocument/2006/relationships">
  <sheetPr>
    <pageSetUpPr fitToPage="1"/>
  </sheetPr>
  <dimension ref="A1:AM331"/>
  <sheetViews>
    <sheetView tabSelected="1" zoomScale="110" zoomScaleNormal="110" zoomScalePageLayoutView="0" workbookViewId="0" topLeftCell="A15">
      <selection activeCell="A36" sqref="A36"/>
    </sheetView>
  </sheetViews>
  <sheetFormatPr defaultColWidth="9.140625" defaultRowHeight="15"/>
  <cols>
    <col min="1" max="1" width="73.140625" style="12" customWidth="1"/>
    <col min="2" max="2" width="7.140625" style="13" customWidth="1"/>
    <col min="3" max="3" width="13.57421875" style="13" bestFit="1" customWidth="1"/>
    <col min="4" max="4" width="13.7109375" style="13" customWidth="1"/>
    <col min="5" max="5" width="14.140625" style="307" hidden="1" customWidth="1"/>
    <col min="6" max="6" width="13.57421875" style="307" customWidth="1"/>
    <col min="7" max="7" width="14.57421875" style="307" customWidth="1"/>
    <col min="8" max="8" width="14.8515625" style="307" customWidth="1"/>
    <col min="9" max="9" width="15.28125" style="307" customWidth="1"/>
    <col min="10" max="10" width="11.28125" style="12" hidden="1" customWidth="1"/>
    <col min="11" max="11" width="24.7109375" style="22" hidden="1" customWidth="1"/>
    <col min="12" max="12" width="23.00390625" style="12" hidden="1" customWidth="1"/>
    <col min="13" max="15" width="20.57421875" style="12" hidden="1" customWidth="1"/>
    <col min="16" max="16" width="12.140625" style="12" hidden="1" customWidth="1"/>
    <col min="17" max="17" width="17.00390625" style="12" hidden="1" customWidth="1"/>
    <col min="18" max="21" width="18.57421875" style="12" hidden="1" customWidth="1"/>
    <col min="22" max="22" width="25.8515625" style="12" hidden="1" customWidth="1"/>
    <col min="23" max="23" width="21.57421875" style="12" hidden="1" customWidth="1"/>
    <col min="24" max="24" width="18.57421875" style="12" hidden="1" customWidth="1"/>
    <col min="25" max="25" width="26.57421875" style="12" hidden="1" customWidth="1"/>
    <col min="26" max="26" width="22.7109375" style="12" hidden="1" customWidth="1"/>
    <col min="27" max="27" width="0.42578125" style="12" hidden="1" customWidth="1"/>
    <col min="28" max="33" width="9.140625" style="12" hidden="1" customWidth="1"/>
    <col min="34" max="34" width="22.57421875" style="12" hidden="1" customWidth="1"/>
    <col min="35" max="38" width="9.140625" style="12" hidden="1" customWidth="1"/>
    <col min="39" max="39" width="20.421875" style="12" hidden="1" customWidth="1"/>
    <col min="40" max="16384" width="9.140625" style="12" customWidth="1"/>
  </cols>
  <sheetData>
    <row r="1" spans="6:34" ht="18.75">
      <c r="F1" s="307" t="s">
        <v>60</v>
      </c>
      <c r="G1" s="308"/>
      <c r="AF1" s="12" t="s">
        <v>384</v>
      </c>
      <c r="AH1" s="307" t="s">
        <v>383</v>
      </c>
    </row>
    <row r="2" spans="1:39" ht="18.75">
      <c r="A2" s="13"/>
      <c r="D2" s="12"/>
      <c r="F2" s="307" t="s">
        <v>61</v>
      </c>
      <c r="AF2" s="12" t="s">
        <v>387</v>
      </c>
      <c r="AH2" s="164">
        <v>2000000</v>
      </c>
      <c r="AI2"/>
      <c r="AJ2" s="162"/>
      <c r="AK2"/>
      <c r="AL2"/>
      <c r="AM2" s="162"/>
    </row>
    <row r="3" spans="1:8" ht="18" customHeight="1">
      <c r="A3" s="13"/>
      <c r="D3" s="12"/>
      <c r="F3" s="307" t="s">
        <v>934</v>
      </c>
      <c r="G3" s="308"/>
      <c r="H3" s="308"/>
    </row>
    <row r="4" spans="1:39" ht="18.75" hidden="1">
      <c r="A4" s="13"/>
      <c r="D4" s="12"/>
      <c r="AF4" s="12" t="s">
        <v>385</v>
      </c>
      <c r="AH4" s="307" t="s">
        <v>386</v>
      </c>
      <c r="AM4" s="163"/>
    </row>
    <row r="5" spans="1:34" ht="18.75" hidden="1">
      <c r="A5" s="13"/>
      <c r="D5" s="12"/>
      <c r="E5" s="307" t="s">
        <v>62</v>
      </c>
      <c r="G5" s="307" t="s">
        <v>935</v>
      </c>
      <c r="AF5" s="12" t="s">
        <v>387</v>
      </c>
      <c r="AH5" s="164">
        <v>29036498</v>
      </c>
    </row>
    <row r="6" ht="15" customHeight="1" hidden="1"/>
    <row r="7" spans="7:8" ht="18.75" hidden="1">
      <c r="G7" s="96" t="s">
        <v>64</v>
      </c>
      <c r="H7" s="303"/>
    </row>
    <row r="8" spans="7:8" ht="18.75" hidden="1">
      <c r="G8" s="96" t="s">
        <v>66</v>
      </c>
      <c r="H8" s="303"/>
    </row>
    <row r="9" spans="7:8" ht="18.75" hidden="1">
      <c r="G9" s="96" t="s">
        <v>67</v>
      </c>
      <c r="H9" s="303"/>
    </row>
    <row r="10" spans="7:8" ht="18.75" hidden="1">
      <c r="G10" s="96" t="s">
        <v>68</v>
      </c>
      <c r="H10" s="303" t="s">
        <v>65</v>
      </c>
    </row>
    <row r="11" spans="7:8" ht="18.75" hidden="1">
      <c r="G11" s="409" t="s">
        <v>69</v>
      </c>
      <c r="H11" s="410"/>
    </row>
    <row r="13" spans="2:9" ht="18.75">
      <c r="B13" s="411"/>
      <c r="C13" s="411"/>
      <c r="D13" s="411"/>
      <c r="E13" s="411"/>
      <c r="H13" s="412" t="s">
        <v>70</v>
      </c>
      <c r="I13" s="412"/>
    </row>
    <row r="14" spans="1:9" ht="44.25" customHeight="1">
      <c r="A14" s="16" t="s">
        <v>71</v>
      </c>
      <c r="B14" s="413" t="s">
        <v>72</v>
      </c>
      <c r="C14" s="413"/>
      <c r="D14" s="413"/>
      <c r="E14" s="413"/>
      <c r="F14" s="413"/>
      <c r="G14" s="448"/>
      <c r="H14" s="96" t="s">
        <v>73</v>
      </c>
      <c r="I14" s="303">
        <v>39007143</v>
      </c>
    </row>
    <row r="15" spans="1:9" ht="18.75">
      <c r="A15" s="16" t="s">
        <v>74</v>
      </c>
      <c r="B15" s="414" t="s">
        <v>75</v>
      </c>
      <c r="C15" s="414"/>
      <c r="D15" s="414"/>
      <c r="E15" s="414"/>
      <c r="F15" s="98"/>
      <c r="G15" s="99"/>
      <c r="H15" s="96" t="s">
        <v>76</v>
      </c>
      <c r="I15" s="303">
        <v>150</v>
      </c>
    </row>
    <row r="16" spans="1:9" ht="18.75">
      <c r="A16" s="16" t="s">
        <v>77</v>
      </c>
      <c r="B16" s="414" t="s">
        <v>78</v>
      </c>
      <c r="C16" s="414"/>
      <c r="D16" s="414"/>
      <c r="E16" s="414"/>
      <c r="F16" s="98"/>
      <c r="G16" s="99"/>
      <c r="H16" s="96" t="s">
        <v>79</v>
      </c>
      <c r="I16" s="303">
        <v>2610600000</v>
      </c>
    </row>
    <row r="17" spans="1:9" ht="18.75">
      <c r="A17" s="16" t="s">
        <v>80</v>
      </c>
      <c r="B17" s="414"/>
      <c r="C17" s="414"/>
      <c r="D17" s="414"/>
      <c r="E17" s="414"/>
      <c r="F17" s="100"/>
      <c r="G17" s="97"/>
      <c r="H17" s="96" t="s">
        <v>81</v>
      </c>
      <c r="I17" s="303"/>
    </row>
    <row r="18" spans="1:9" ht="18.75">
      <c r="A18" s="16" t="s">
        <v>82</v>
      </c>
      <c r="B18" s="414"/>
      <c r="C18" s="414"/>
      <c r="D18" s="414"/>
      <c r="E18" s="414"/>
      <c r="F18" s="100"/>
      <c r="G18" s="97"/>
      <c r="H18" s="96" t="s">
        <v>83</v>
      </c>
      <c r="I18" s="303"/>
    </row>
    <row r="19" spans="1:9" ht="18.75">
      <c r="A19" s="16" t="s">
        <v>84</v>
      </c>
      <c r="B19" s="414"/>
      <c r="C19" s="414"/>
      <c r="D19" s="414"/>
      <c r="E19" s="414"/>
      <c r="F19" s="100"/>
      <c r="G19" s="101"/>
      <c r="H19" s="102" t="s">
        <v>85</v>
      </c>
      <c r="I19" s="303" t="s">
        <v>86</v>
      </c>
    </row>
    <row r="20" spans="1:9" ht="18.75">
      <c r="A20" s="16" t="s">
        <v>87</v>
      </c>
      <c r="B20" s="414"/>
      <c r="C20" s="414"/>
      <c r="D20" s="414"/>
      <c r="E20" s="414"/>
      <c r="F20" s="415" t="s">
        <v>88</v>
      </c>
      <c r="G20" s="416"/>
      <c r="H20" s="417"/>
      <c r="I20" s="305" t="s">
        <v>65</v>
      </c>
    </row>
    <row r="21" spans="1:9" ht="18.75">
      <c r="A21" s="16" t="s">
        <v>89</v>
      </c>
      <c r="B21" s="414" t="s">
        <v>90</v>
      </c>
      <c r="C21" s="414"/>
      <c r="D21" s="414"/>
      <c r="E21" s="414"/>
      <c r="F21" s="415" t="s">
        <v>91</v>
      </c>
      <c r="G21" s="416"/>
      <c r="H21" s="417"/>
      <c r="I21" s="103"/>
    </row>
    <row r="22" spans="1:9" ht="18.75">
      <c r="A22" s="16" t="s">
        <v>92</v>
      </c>
      <c r="B22" s="421">
        <v>220</v>
      </c>
      <c r="C22" s="421"/>
      <c r="D22" s="421"/>
      <c r="E22" s="421"/>
      <c r="F22" s="100"/>
      <c r="G22" s="100"/>
      <c r="H22" s="100"/>
      <c r="I22" s="97"/>
    </row>
    <row r="23" spans="1:9" ht="18.75">
      <c r="A23" s="16" t="s">
        <v>93</v>
      </c>
      <c r="B23" s="414" t="s">
        <v>94</v>
      </c>
      <c r="C23" s="414"/>
      <c r="D23" s="414"/>
      <c r="E23" s="414"/>
      <c r="F23" s="414"/>
      <c r="G23" s="414"/>
      <c r="H23" s="414"/>
      <c r="I23" s="422"/>
    </row>
    <row r="24" spans="1:9" ht="18.75">
      <c r="A24" s="16" t="s">
        <v>95</v>
      </c>
      <c r="B24" s="423" t="s">
        <v>96</v>
      </c>
      <c r="C24" s="423"/>
      <c r="D24" s="423"/>
      <c r="E24" s="423"/>
      <c r="F24" s="100"/>
      <c r="G24" s="100"/>
      <c r="H24" s="100"/>
      <c r="I24" s="97"/>
    </row>
    <row r="25" spans="1:9" ht="18.75">
      <c r="A25" s="16" t="s">
        <v>97</v>
      </c>
      <c r="B25" s="421" t="s">
        <v>930</v>
      </c>
      <c r="C25" s="421"/>
      <c r="D25" s="421"/>
      <c r="E25" s="421"/>
      <c r="F25" s="98"/>
      <c r="G25" s="98"/>
      <c r="H25" s="98"/>
      <c r="I25" s="99"/>
    </row>
    <row r="27" spans="1:9" ht="18" customHeight="1">
      <c r="A27" s="424" t="s">
        <v>932</v>
      </c>
      <c r="B27" s="424"/>
      <c r="C27" s="424"/>
      <c r="D27" s="424"/>
      <c r="E27" s="424"/>
      <c r="F27" s="424"/>
      <c r="G27" s="424"/>
      <c r="H27" s="424"/>
      <c r="I27" s="424"/>
    </row>
    <row r="28" spans="1:16" ht="18.75">
      <c r="A28" s="424" t="s">
        <v>933</v>
      </c>
      <c r="B28" s="424"/>
      <c r="C28" s="424"/>
      <c r="D28" s="424"/>
      <c r="E28" s="424"/>
      <c r="F28" s="424"/>
      <c r="G28" s="424"/>
      <c r="H28" s="424"/>
      <c r="I28" s="424"/>
      <c r="J28" s="19"/>
      <c r="K28" s="19"/>
      <c r="L28" s="19"/>
      <c r="M28" s="19"/>
      <c r="N28" s="19"/>
      <c r="O28" s="19"/>
      <c r="P28" s="19"/>
    </row>
    <row r="29" spans="1:9" ht="18.75">
      <c r="A29" s="18"/>
      <c r="B29" s="20"/>
      <c r="C29" s="18"/>
      <c r="D29" s="18"/>
      <c r="E29" s="104"/>
      <c r="F29" s="104"/>
      <c r="G29" s="104"/>
      <c r="H29" s="104"/>
      <c r="I29" s="104" t="s">
        <v>99</v>
      </c>
    </row>
    <row r="30" spans="1:11" ht="28.5" customHeight="1">
      <c r="A30" s="439" t="s">
        <v>100</v>
      </c>
      <c r="B30" s="446" t="s">
        <v>101</v>
      </c>
      <c r="C30" s="441" t="s">
        <v>938</v>
      </c>
      <c r="D30" s="442"/>
      <c r="E30" s="446" t="s">
        <v>104</v>
      </c>
      <c r="F30" s="443" t="s">
        <v>939</v>
      </c>
      <c r="G30" s="443"/>
      <c r="H30" s="443"/>
      <c r="I30" s="443"/>
      <c r="J30" s="444" t="s">
        <v>940</v>
      </c>
      <c r="K30" s="12"/>
    </row>
    <row r="31" spans="1:11" ht="31.5">
      <c r="A31" s="440"/>
      <c r="B31" s="447"/>
      <c r="C31" s="171" t="s">
        <v>941</v>
      </c>
      <c r="D31" s="171" t="s">
        <v>942</v>
      </c>
      <c r="E31" s="447"/>
      <c r="F31" s="314" t="s">
        <v>943</v>
      </c>
      <c r="G31" s="314" t="s">
        <v>944</v>
      </c>
      <c r="H31" s="316" t="s">
        <v>945</v>
      </c>
      <c r="I31" s="316" t="s">
        <v>946</v>
      </c>
      <c r="J31" s="445"/>
      <c r="K31" s="12"/>
    </row>
    <row r="32" spans="1:11" ht="18.75">
      <c r="A32" s="14">
        <v>1</v>
      </c>
      <c r="B32" s="315">
        <v>2</v>
      </c>
      <c r="C32" s="315">
        <v>3</v>
      </c>
      <c r="D32" s="315">
        <v>4</v>
      </c>
      <c r="E32" s="315">
        <v>5</v>
      </c>
      <c r="F32" s="315">
        <v>5</v>
      </c>
      <c r="G32" s="315">
        <v>6</v>
      </c>
      <c r="H32" s="336">
        <v>7</v>
      </c>
      <c r="I32" s="336">
        <v>8</v>
      </c>
      <c r="J32" s="17">
        <v>10</v>
      </c>
      <c r="K32" s="12"/>
    </row>
    <row r="33" spans="1:16" ht="18.75">
      <c r="A33" s="34" t="s">
        <v>110</v>
      </c>
      <c r="B33" s="34"/>
      <c r="C33" s="34"/>
      <c r="D33" s="34"/>
      <c r="E33" s="34"/>
      <c r="F33" s="34"/>
      <c r="G33" s="34"/>
      <c r="H33" s="34"/>
      <c r="I33" s="35"/>
      <c r="J33" s="20"/>
      <c r="K33" s="18"/>
      <c r="L33" s="20"/>
      <c r="M33" s="20"/>
      <c r="N33" s="20"/>
      <c r="O33" s="20"/>
      <c r="P33" s="20"/>
    </row>
    <row r="34" spans="1:16" s="22" customFormat="1" ht="18.75" customHeight="1">
      <c r="A34" s="341" t="s">
        <v>111</v>
      </c>
      <c r="B34" s="340"/>
      <c r="C34" s="340"/>
      <c r="D34" s="340"/>
      <c r="E34" s="340"/>
      <c r="F34" s="340"/>
      <c r="G34" s="340"/>
      <c r="H34" s="340"/>
      <c r="I34" s="342"/>
      <c r="J34" s="63"/>
      <c r="K34" s="63"/>
      <c r="L34" s="63"/>
      <c r="M34" s="63"/>
      <c r="N34" s="63"/>
      <c r="O34" s="63"/>
      <c r="P34" s="63"/>
    </row>
    <row r="35" spans="1:17" s="22" customFormat="1" ht="36.75" customHeight="1">
      <c r="A35" s="23" t="s">
        <v>112</v>
      </c>
      <c r="B35" s="337">
        <v>100</v>
      </c>
      <c r="C35" s="383">
        <f>'Звіт 2019'!G30</f>
        <v>33275.06336</v>
      </c>
      <c r="D35" s="338">
        <f aca="true" t="shared" si="0" ref="D35:D40">G35</f>
        <v>35739.83378999999</v>
      </c>
      <c r="E35" s="339">
        <f aca="true" t="shared" si="1" ref="E35:E44">SUM(F35:I35)</f>
        <v>68105.03648310996</v>
      </c>
      <c r="F35" s="338">
        <f>-(F41+F60+F75+F84+F86+F94)-F37</f>
        <v>33999.9596</v>
      </c>
      <c r="G35" s="338">
        <f>-(G41+G60+G84+G86+G94)-G37</f>
        <v>35739.83378999999</v>
      </c>
      <c r="H35" s="343">
        <f>F35-G35</f>
        <v>-1739.8741899999877</v>
      </c>
      <c r="I35" s="107">
        <f>G35/F35*100</f>
        <v>105.11728310994812</v>
      </c>
      <c r="J35" s="44"/>
      <c r="K35" s="79"/>
      <c r="L35" s="44"/>
      <c r="M35" s="44"/>
      <c r="N35" s="44"/>
      <c r="O35" s="44"/>
      <c r="P35" s="44"/>
      <c r="Q35" s="65">
        <v>1196</v>
      </c>
    </row>
    <row r="36" spans="1:16" s="22" customFormat="1" ht="60" customHeight="1">
      <c r="A36" s="23" t="s">
        <v>354</v>
      </c>
      <c r="B36" s="24">
        <v>110</v>
      </c>
      <c r="C36" s="383">
        <f>'Звіт 2019'!G31</f>
        <v>331.234</v>
      </c>
      <c r="D36" s="338">
        <f t="shared" si="0"/>
        <v>183.84649000000002</v>
      </c>
      <c r="E36" s="106">
        <f t="shared" si="1"/>
        <v>473.042599080504</v>
      </c>
      <c r="F36" s="107">
        <f>F94</f>
        <v>187.494</v>
      </c>
      <c r="G36" s="107">
        <f>G94</f>
        <v>183.84649000000002</v>
      </c>
      <c r="H36" s="343">
        <f>F36-G36</f>
        <v>3.6475099999999827</v>
      </c>
      <c r="I36" s="107">
        <f>G36/F36*100</f>
        <v>98.05459908050392</v>
      </c>
      <c r="J36" s="44"/>
      <c r="K36" s="79"/>
      <c r="L36" s="44"/>
      <c r="M36" s="44"/>
      <c r="N36" s="44"/>
      <c r="O36" s="44"/>
      <c r="P36" s="44"/>
    </row>
    <row r="37" spans="1:16" s="22" customFormat="1" ht="37.5">
      <c r="A37" s="23" t="s">
        <v>113</v>
      </c>
      <c r="B37" s="24">
        <v>120</v>
      </c>
      <c r="C37" s="383">
        <f>'Звіт 2019'!G32</f>
        <v>0</v>
      </c>
      <c r="D37" s="338">
        <f t="shared" si="0"/>
        <v>2523.32562</v>
      </c>
      <c r="E37" s="106">
        <f t="shared" si="1"/>
        <v>5749.163449469965</v>
      </c>
      <c r="F37" s="107">
        <f>F38+F39+F40</f>
        <v>2830</v>
      </c>
      <c r="G37" s="107">
        <f>G38+G39+G40</f>
        <v>2523.32562</v>
      </c>
      <c r="H37" s="343">
        <f>F37-G37</f>
        <v>306.6743799999999</v>
      </c>
      <c r="I37" s="107">
        <f>G37/F37*100</f>
        <v>89.16344946996466</v>
      </c>
      <c r="J37" s="44"/>
      <c r="K37" s="79"/>
      <c r="L37" s="44"/>
      <c r="M37" s="44"/>
      <c r="N37" s="44"/>
      <c r="O37" s="44"/>
      <c r="P37" s="44"/>
    </row>
    <row r="38" spans="1:16" s="22" customFormat="1" ht="56.25">
      <c r="A38" s="26" t="s">
        <v>114</v>
      </c>
      <c r="B38" s="27">
        <v>121</v>
      </c>
      <c r="C38" s="383">
        <f>'Звіт 2019'!G33</f>
        <v>0</v>
      </c>
      <c r="D38" s="338">
        <f t="shared" si="0"/>
        <v>0</v>
      </c>
      <c r="E38" s="106">
        <f t="shared" si="1"/>
        <v>0</v>
      </c>
      <c r="F38" s="107">
        <f>'Фін.план 2020 (зміни 1)'!F38</f>
        <v>0</v>
      </c>
      <c r="G38" s="107"/>
      <c r="H38" s="107"/>
      <c r="I38" s="107"/>
      <c r="J38" s="44"/>
      <c r="K38" s="81">
        <f>L38+M38+N38+O38</f>
        <v>300000</v>
      </c>
      <c r="L38" s="184">
        <v>100000</v>
      </c>
      <c r="M38" s="184"/>
      <c r="N38" s="184">
        <v>200000</v>
      </c>
      <c r="O38" s="184"/>
      <c r="P38" s="44"/>
    </row>
    <row r="39" spans="1:16" s="22" customFormat="1" ht="56.25">
      <c r="A39" s="26" t="s">
        <v>492</v>
      </c>
      <c r="B39" s="27">
        <v>122</v>
      </c>
      <c r="C39" s="384">
        <f>'Звіт 2019'!G34</f>
        <v>0</v>
      </c>
      <c r="D39" s="385">
        <f t="shared" si="0"/>
        <v>999</v>
      </c>
      <c r="E39" s="386">
        <f t="shared" si="1"/>
        <v>2099.9</v>
      </c>
      <c r="F39" s="386">
        <f>'Фін.план 2020 (зміни 1)'!F39</f>
        <v>1000</v>
      </c>
      <c r="G39" s="386">
        <f>499500*2/1000</f>
        <v>999</v>
      </c>
      <c r="H39" s="387">
        <f aca="true" t="shared" si="2" ref="H39:H47">F39-G39</f>
        <v>1</v>
      </c>
      <c r="I39" s="386">
        <f aca="true" t="shared" si="3" ref="I39:I47">G39/F39*100</f>
        <v>99.9</v>
      </c>
      <c r="J39" s="44"/>
      <c r="K39" s="81">
        <f>L39+M39+N39+O39</f>
        <v>1000000</v>
      </c>
      <c r="L39" s="184">
        <v>1000000</v>
      </c>
      <c r="M39" s="184"/>
      <c r="N39" s="184"/>
      <c r="O39" s="184"/>
      <c r="P39" s="44"/>
    </row>
    <row r="40" spans="1:16" s="22" customFormat="1" ht="60.75" customHeight="1">
      <c r="A40" s="26" t="s">
        <v>493</v>
      </c>
      <c r="B40" s="27">
        <v>123</v>
      </c>
      <c r="C40" s="384">
        <f>'Звіт 2019'!G35</f>
        <v>0</v>
      </c>
      <c r="D40" s="385">
        <f t="shared" si="0"/>
        <v>1524.32562</v>
      </c>
      <c r="E40" s="386">
        <f t="shared" si="1"/>
        <v>3743.296481967213</v>
      </c>
      <c r="F40" s="386">
        <f>'Фін.план 2020 (зміни 1)'!F40</f>
        <v>1830</v>
      </c>
      <c r="G40" s="386">
        <f>(1484325.62+40000)/1000</f>
        <v>1524.32562</v>
      </c>
      <c r="H40" s="387">
        <f t="shared" si="2"/>
        <v>305.6743799999999</v>
      </c>
      <c r="I40" s="386">
        <f t="shared" si="3"/>
        <v>83.29648196721313</v>
      </c>
      <c r="J40" s="44"/>
      <c r="K40" s="81">
        <f>L40+M40+N40+O40</f>
        <v>1830000</v>
      </c>
      <c r="L40" s="184">
        <f>130000+160000+160000+100000</f>
        <v>550000</v>
      </c>
      <c r="M40" s="184">
        <f>252000+118000+1000</f>
        <v>371000</v>
      </c>
      <c r="N40" s="184">
        <f>1000+1000+3000+200000</f>
        <v>205000</v>
      </c>
      <c r="O40" s="184">
        <f>218000+268000+218000</f>
        <v>704000</v>
      </c>
      <c r="P40" s="44"/>
    </row>
    <row r="41" spans="1:24" ht="24" customHeight="1">
      <c r="A41" s="23" t="s">
        <v>116</v>
      </c>
      <c r="B41" s="24">
        <v>130</v>
      </c>
      <c r="C41" s="335">
        <f>SUM(C42:C59)</f>
        <v>-29535.746990000003</v>
      </c>
      <c r="D41" s="108">
        <f>D42+D45+D46+D51+SUM(D52:D59)</f>
        <v>-31259.00014</v>
      </c>
      <c r="E41" s="108">
        <f t="shared" si="1"/>
        <v>-60843.52804744668</v>
      </c>
      <c r="F41" s="108">
        <f>F42+F45+F46+F51+SUM(F52:F59)</f>
        <v>-30473.0536</v>
      </c>
      <c r="G41" s="108">
        <f>G42+G45+G46+G51+SUM(G52:G59)</f>
        <v>-31259.00014</v>
      </c>
      <c r="H41" s="345">
        <f t="shared" si="2"/>
        <v>785.9465400000008</v>
      </c>
      <c r="I41" s="110">
        <f t="shared" si="3"/>
        <v>102.57915255332337</v>
      </c>
      <c r="J41" s="44"/>
      <c r="K41" s="79"/>
      <c r="L41" s="124" t="s">
        <v>314</v>
      </c>
      <c r="M41" s="44"/>
      <c r="N41" s="44"/>
      <c r="O41" s="44"/>
      <c r="P41" s="44"/>
      <c r="R41" s="122">
        <f>R42+R45+R46+R51+R52+R53+R54+R55+R56+R57+R58+R59</f>
        <v>7746845.180000001</v>
      </c>
      <c r="S41" s="122">
        <f>S42+S45+S46+S51+S52+S53+S54+S55+S56+S57+S58+S59</f>
        <v>7587376.180000001</v>
      </c>
      <c r="T41" s="122">
        <f>T42+T45+T46+T51+T52+T53+T54+T55+T56+T57+T58+T59</f>
        <v>7390445.61</v>
      </c>
      <c r="U41" s="122">
        <f>U42+U45+U46+U51+U52+U53+U54+U55+U56+U57+U58+U59</f>
        <v>7748386.630000001</v>
      </c>
      <c r="X41" s="130">
        <f aca="true" t="shared" si="4" ref="X41:X82">E41*-1000</f>
        <v>60843528.047446676</v>
      </c>
    </row>
    <row r="42" spans="1:24" s="30" customFormat="1" ht="18.75">
      <c r="A42" s="23" t="s">
        <v>117</v>
      </c>
      <c r="B42" s="17">
        <v>140</v>
      </c>
      <c r="C42" s="110">
        <f>SUM(C43:C44)</f>
        <v>-927.90906</v>
      </c>
      <c r="D42" s="110">
        <f>SUM(D43:D44)</f>
        <v>-1429.3345000000002</v>
      </c>
      <c r="E42" s="108">
        <f t="shared" si="1"/>
        <v>-2670.947764960346</v>
      </c>
      <c r="F42" s="110">
        <f>SUM(F43:F44)</f>
        <v>-1387</v>
      </c>
      <c r="G42" s="110">
        <f>SUM(G43:G44)</f>
        <v>-1429.3345000000002</v>
      </c>
      <c r="H42" s="345">
        <f t="shared" si="2"/>
        <v>42.33450000000016</v>
      </c>
      <c r="I42" s="110">
        <f t="shared" si="3"/>
        <v>103.05223503965395</v>
      </c>
      <c r="J42" s="44"/>
      <c r="K42" s="79"/>
      <c r="L42" s="124" t="s">
        <v>315</v>
      </c>
      <c r="M42" s="44"/>
      <c r="N42" s="44"/>
      <c r="O42" s="44"/>
      <c r="P42" s="44"/>
      <c r="R42" s="123">
        <f>R43+R44</f>
        <v>199000</v>
      </c>
      <c r="S42" s="123">
        <f>S43+S44</f>
        <v>392000</v>
      </c>
      <c r="T42" s="123">
        <f>T43+T44</f>
        <v>394000</v>
      </c>
      <c r="U42" s="123">
        <f>U43+U44</f>
        <v>402000</v>
      </c>
      <c r="X42" s="130">
        <f t="shared" si="4"/>
        <v>2670947.764960346</v>
      </c>
    </row>
    <row r="43" spans="1:24" s="30" customFormat="1" ht="18.75">
      <c r="A43" s="26" t="s">
        <v>118</v>
      </c>
      <c r="B43" s="31">
        <v>141</v>
      </c>
      <c r="C43" s="320">
        <f>'Звіт 2019'!G38</f>
        <v>-588.9651</v>
      </c>
      <c r="D43" s="107">
        <f>G43</f>
        <v>-1234.7838000000002</v>
      </c>
      <c r="E43" s="106">
        <f t="shared" si="1"/>
        <v>-1876.52162</v>
      </c>
      <c r="F43" s="107">
        <f>'Фін.план 2020 (зміни 1)'!F43</f>
        <v>-1000</v>
      </c>
      <c r="G43" s="107">
        <f>-1234783.8/1000</f>
        <v>-1234.7838000000002</v>
      </c>
      <c r="H43" s="343">
        <f t="shared" si="2"/>
        <v>234.78380000000016</v>
      </c>
      <c r="I43" s="107">
        <f t="shared" si="3"/>
        <v>123.47838000000002</v>
      </c>
      <c r="J43" s="82"/>
      <c r="K43" s="81">
        <f>L43+M43+N43+O43</f>
        <v>1000000</v>
      </c>
      <c r="L43" s="241">
        <v>97000</v>
      </c>
      <c r="M43" s="241">
        <f>100000+40000+60000+100000</f>
        <v>300000</v>
      </c>
      <c r="N43" s="241">
        <f>63000+60000+60000+97000+12000</f>
        <v>292000</v>
      </c>
      <c r="O43" s="241">
        <f>89100+93510+34390+94000</f>
        <v>311000</v>
      </c>
      <c r="P43" s="44" t="s">
        <v>929</v>
      </c>
      <c r="Q43" s="129">
        <f>K43-P43</f>
        <v>46894</v>
      </c>
      <c r="R43" s="54">
        <f aca="true" t="shared" si="5" ref="R43:U45">L43</f>
        <v>97000</v>
      </c>
      <c r="S43" s="54">
        <f t="shared" si="5"/>
        <v>300000</v>
      </c>
      <c r="T43" s="54">
        <f t="shared" si="5"/>
        <v>292000</v>
      </c>
      <c r="U43" s="54">
        <f t="shared" si="5"/>
        <v>311000</v>
      </c>
      <c r="X43" s="130">
        <f t="shared" si="4"/>
        <v>1876521.6199999999</v>
      </c>
    </row>
    <row r="44" spans="1:24" s="30" customFormat="1" ht="40.5" customHeight="1">
      <c r="A44" s="26" t="s">
        <v>119</v>
      </c>
      <c r="B44" s="31">
        <v>142</v>
      </c>
      <c r="C44" s="320">
        <f>'Звіт 2019'!G39</f>
        <v>-338.94395999999995</v>
      </c>
      <c r="D44" s="107">
        <f>G44</f>
        <v>-194.5507</v>
      </c>
      <c r="E44" s="106">
        <f t="shared" si="1"/>
        <v>-723.7285012919897</v>
      </c>
      <c r="F44" s="107">
        <f>'Фін.план 2020 (зміни 1)'!F44</f>
        <v>-387</v>
      </c>
      <c r="G44" s="107">
        <f>-194550.7/1000</f>
        <v>-194.5507</v>
      </c>
      <c r="H44" s="343">
        <f t="shared" si="2"/>
        <v>-192.4493</v>
      </c>
      <c r="I44" s="107">
        <f t="shared" si="3"/>
        <v>50.27149870801034</v>
      </c>
      <c r="J44" s="82"/>
      <c r="K44" s="81">
        <f>L44+M44+N44+O44</f>
        <v>387000</v>
      </c>
      <c r="L44" s="241">
        <v>102000</v>
      </c>
      <c r="M44" s="241">
        <f>115000-M61</f>
        <v>92000</v>
      </c>
      <c r="N44" s="241">
        <v>102000</v>
      </c>
      <c r="O44" s="241">
        <v>91000</v>
      </c>
      <c r="P44" s="44"/>
      <c r="Q44" s="129">
        <f>K44-P44</f>
        <v>387000</v>
      </c>
      <c r="R44" s="54">
        <f t="shared" si="5"/>
        <v>102000</v>
      </c>
      <c r="S44" s="54">
        <f t="shared" si="5"/>
        <v>92000</v>
      </c>
      <c r="T44" s="54">
        <f t="shared" si="5"/>
        <v>102000</v>
      </c>
      <c r="U44" s="54">
        <f t="shared" si="5"/>
        <v>91000</v>
      </c>
      <c r="X44" s="130">
        <f t="shared" si="4"/>
        <v>723728.5012919897</v>
      </c>
    </row>
    <row r="45" spans="1:24" s="30" customFormat="1" ht="18.75">
      <c r="A45" s="23" t="s">
        <v>120</v>
      </c>
      <c r="B45" s="17">
        <v>150</v>
      </c>
      <c r="C45" s="320">
        <f>'Звіт 2019'!G40</f>
        <v>-222.25649</v>
      </c>
      <c r="D45" s="107">
        <f>G45</f>
        <v>-189.4205</v>
      </c>
      <c r="E45" s="106">
        <f aca="true" t="shared" si="6" ref="E45:E75">SUM(F45:I45)</f>
        <v>-580.80609375</v>
      </c>
      <c r="F45" s="107">
        <f>'Фін.план 2020 (зміни 1)'!F45</f>
        <v>-320</v>
      </c>
      <c r="G45" s="107">
        <f>-189420.5/1000</f>
        <v>-189.4205</v>
      </c>
      <c r="H45" s="343">
        <f t="shared" si="2"/>
        <v>-130.5795</v>
      </c>
      <c r="I45" s="107">
        <f t="shared" si="3"/>
        <v>59.193906250000005</v>
      </c>
      <c r="J45" s="82"/>
      <c r="K45" s="81">
        <f>L45+M45+N45+O45</f>
        <v>320000</v>
      </c>
      <c r="L45" s="241">
        <f>60000-L68</f>
        <v>49000</v>
      </c>
      <c r="M45" s="241">
        <f>100000-M68</f>
        <v>90000</v>
      </c>
      <c r="N45" s="241">
        <f>100000-N68</f>
        <v>91000</v>
      </c>
      <c r="O45" s="241">
        <f>100000-O68</f>
        <v>90000</v>
      </c>
      <c r="P45" s="44"/>
      <c r="R45" s="54">
        <f t="shared" si="5"/>
        <v>49000</v>
      </c>
      <c r="S45" s="54">
        <f t="shared" si="5"/>
        <v>90000</v>
      </c>
      <c r="T45" s="54">
        <f t="shared" si="5"/>
        <v>91000</v>
      </c>
      <c r="U45" s="54">
        <f t="shared" si="5"/>
        <v>90000</v>
      </c>
      <c r="X45" s="130">
        <f t="shared" si="4"/>
        <v>580806.09375</v>
      </c>
    </row>
    <row r="46" spans="1:24" s="30" customFormat="1" ht="18.75">
      <c r="A46" s="23" t="s">
        <v>121</v>
      </c>
      <c r="B46" s="17">
        <v>160</v>
      </c>
      <c r="C46" s="110">
        <f>SUM(C47:C50)</f>
        <v>-572.82437</v>
      </c>
      <c r="D46" s="110">
        <f>SUM(D47:D50)</f>
        <v>-614.3049</v>
      </c>
      <c r="E46" s="110">
        <f>SUM(F46:I46)</f>
        <v>-987.2065696087352</v>
      </c>
      <c r="F46" s="110">
        <f>SUM(F47:F50)</f>
        <v>-549.5</v>
      </c>
      <c r="G46" s="110">
        <f>SUM(G47:G50)</f>
        <v>-614.3049</v>
      </c>
      <c r="H46" s="345">
        <f t="shared" si="2"/>
        <v>64.80489999999998</v>
      </c>
      <c r="I46" s="110">
        <f t="shared" si="3"/>
        <v>111.79343039126479</v>
      </c>
      <c r="J46" s="44"/>
      <c r="K46" s="79"/>
      <c r="L46" s="124" t="s">
        <v>316</v>
      </c>
      <c r="M46" s="44"/>
      <c r="N46" s="44"/>
      <c r="O46" s="44"/>
      <c r="P46" s="44"/>
      <c r="R46" s="123">
        <f>R47+R48+R49+R50</f>
        <v>269160</v>
      </c>
      <c r="S46" s="123">
        <f>S47+S48+S49+S50</f>
        <v>96375</v>
      </c>
      <c r="T46" s="123">
        <f>T47+T48+T49+T50</f>
        <v>4525</v>
      </c>
      <c r="U46" s="123">
        <f>U47+U48+U49+U50</f>
        <v>179440</v>
      </c>
      <c r="X46" s="130">
        <f t="shared" si="4"/>
        <v>987206.5696087352</v>
      </c>
    </row>
    <row r="47" spans="1:24" s="30" customFormat="1" ht="18.75">
      <c r="A47" s="26" t="s">
        <v>122</v>
      </c>
      <c r="B47" s="31">
        <v>161</v>
      </c>
      <c r="C47" s="320">
        <f>'Звіт 2019'!G42</f>
        <v>-353.74371</v>
      </c>
      <c r="D47" s="107">
        <f>G47</f>
        <v>-417.734</v>
      </c>
      <c r="E47" s="106">
        <f t="shared" si="6"/>
        <v>-474.94740270782927</v>
      </c>
      <c r="F47" s="107">
        <f>'Фін.план 2020 (зміни 1)'!F47</f>
        <v>-305.78000000000003</v>
      </c>
      <c r="G47" s="107">
        <f>-417734/1000</f>
        <v>-417.734</v>
      </c>
      <c r="H47" s="343">
        <f t="shared" si="2"/>
        <v>111.95399999999995</v>
      </c>
      <c r="I47" s="107">
        <f t="shared" si="3"/>
        <v>136.61259729217082</v>
      </c>
      <c r="J47" s="82"/>
      <c r="K47" s="81">
        <f aca="true" t="shared" si="7" ref="K47:K55">L47+M47+N47+O47</f>
        <v>305780</v>
      </c>
      <c r="L47" s="184">
        <f>(100720+80000+75000)-L66</f>
        <v>170520</v>
      </c>
      <c r="M47" s="184">
        <f>(80000+15000+0)-M66</f>
        <v>62400</v>
      </c>
      <c r="N47" s="184">
        <f>(0*3)-N66</f>
        <v>0</v>
      </c>
      <c r="O47" s="184">
        <f>(26000+36000+40060)-O66</f>
        <v>72860</v>
      </c>
      <c r="P47" s="44"/>
      <c r="R47" s="54">
        <f>L47</f>
        <v>170520</v>
      </c>
      <c r="S47" s="54">
        <f>M47</f>
        <v>62400</v>
      </c>
      <c r="T47" s="54">
        <f>N47</f>
        <v>0</v>
      </c>
      <c r="U47" s="54">
        <f>O47</f>
        <v>72860</v>
      </c>
      <c r="X47" s="130">
        <f t="shared" si="4"/>
        <v>474947.40270782926</v>
      </c>
    </row>
    <row r="48" spans="1:24" s="30" customFormat="1" ht="18.75">
      <c r="A48" s="26" t="s">
        <v>123</v>
      </c>
      <c r="B48" s="31">
        <v>162</v>
      </c>
      <c r="C48" s="320">
        <f>'Звіт 2019'!G43</f>
        <v>-14.82733</v>
      </c>
      <c r="D48" s="107">
        <f aca="true" t="shared" si="8" ref="D48:D59">G48</f>
        <v>-17.211299999999998</v>
      </c>
      <c r="E48" s="106">
        <f t="shared" si="6"/>
        <v>57.25113662156263</v>
      </c>
      <c r="F48" s="107">
        <f>'Фін.план 2020 (зміни 1)'!F48</f>
        <v>-18.328</v>
      </c>
      <c r="G48" s="107">
        <f>-17211.3/1000</f>
        <v>-17.211299999999998</v>
      </c>
      <c r="H48" s="343">
        <f aca="true" t="shared" si="9" ref="H48:H61">F48-G48</f>
        <v>-1.1167000000000016</v>
      </c>
      <c r="I48" s="107">
        <f aca="true" t="shared" si="10" ref="I48:I61">G48/F48*100</f>
        <v>93.90713662156263</v>
      </c>
      <c r="J48" s="82"/>
      <c r="K48" s="81">
        <f t="shared" si="7"/>
        <v>18328</v>
      </c>
      <c r="L48" s="241">
        <f>(1930+1800+1800)-L67</f>
        <v>4630</v>
      </c>
      <c r="M48" s="241">
        <f>(1650+1900+1825)-M67</f>
        <v>4575</v>
      </c>
      <c r="N48" s="241">
        <f>(1800+1825+1800)-N67</f>
        <v>4525</v>
      </c>
      <c r="O48" s="241">
        <f>(1800+1930+1768)-O67</f>
        <v>4598</v>
      </c>
      <c r="P48" s="44"/>
      <c r="R48" s="54">
        <f aca="true" t="shared" si="11" ref="R48:U59">L48</f>
        <v>4630</v>
      </c>
      <c r="S48" s="54">
        <f t="shared" si="11"/>
        <v>4575</v>
      </c>
      <c r="T48" s="54">
        <f t="shared" si="11"/>
        <v>4525</v>
      </c>
      <c r="U48" s="54">
        <f t="shared" si="11"/>
        <v>4598</v>
      </c>
      <c r="X48" s="130">
        <f t="shared" si="4"/>
        <v>-57251.13662156263</v>
      </c>
    </row>
    <row r="49" spans="1:24" s="30" customFormat="1" ht="18.75">
      <c r="A49" s="26" t="s">
        <v>124</v>
      </c>
      <c r="B49" s="31">
        <v>163</v>
      </c>
      <c r="C49" s="320">
        <f>'Звіт 2019'!G44</f>
        <v>-34.05746</v>
      </c>
      <c r="D49" s="107">
        <f t="shared" si="8"/>
        <v>-22.646</v>
      </c>
      <c r="E49" s="106">
        <f t="shared" si="6"/>
        <v>17.76610169491525</v>
      </c>
      <c r="F49" s="107">
        <f>'Фін.план 2020 (зміни 1)'!F49</f>
        <v>-29.5</v>
      </c>
      <c r="G49" s="107">
        <f>-22646/1000</f>
        <v>-22.646</v>
      </c>
      <c r="H49" s="343">
        <f t="shared" si="9"/>
        <v>-6.853999999999999</v>
      </c>
      <c r="I49" s="107">
        <f t="shared" si="10"/>
        <v>76.76610169491525</v>
      </c>
      <c r="J49" s="82"/>
      <c r="K49" s="81">
        <f t="shared" si="7"/>
        <v>29500</v>
      </c>
      <c r="L49" s="241">
        <f>0+9000+4200</f>
        <v>13200</v>
      </c>
      <c r="M49" s="241">
        <v>0</v>
      </c>
      <c r="N49" s="241">
        <v>0</v>
      </c>
      <c r="O49" s="241">
        <f>2200+6200+7900</f>
        <v>16300</v>
      </c>
      <c r="P49" s="44"/>
      <c r="R49" s="54">
        <f t="shared" si="11"/>
        <v>13200</v>
      </c>
      <c r="S49" s="54">
        <f t="shared" si="11"/>
        <v>0</v>
      </c>
      <c r="T49" s="54">
        <f t="shared" si="11"/>
        <v>0</v>
      </c>
      <c r="U49" s="54">
        <f t="shared" si="11"/>
        <v>16300</v>
      </c>
      <c r="X49" s="130">
        <f t="shared" si="4"/>
        <v>-17766.10169491525</v>
      </c>
    </row>
    <row r="50" spans="1:24" s="30" customFormat="1" ht="18.75">
      <c r="A50" s="26" t="s">
        <v>125</v>
      </c>
      <c r="B50" s="31">
        <v>164</v>
      </c>
      <c r="C50" s="320">
        <f>'Звіт 2019'!G45</f>
        <v>-170.19586999999999</v>
      </c>
      <c r="D50" s="107">
        <f t="shared" si="8"/>
        <v>-156.7136</v>
      </c>
      <c r="E50" s="106">
        <f>SUM(F50:I50)</f>
        <v>-311.784</v>
      </c>
      <c r="F50" s="107">
        <f>'Фін.план 2020 (зміни 1)'!F50</f>
        <v>-195.892</v>
      </c>
      <c r="G50" s="107">
        <f>-156713.6/1000</f>
        <v>-156.7136</v>
      </c>
      <c r="H50" s="343">
        <f t="shared" si="9"/>
        <v>-39.17839999999998</v>
      </c>
      <c r="I50" s="107">
        <f t="shared" si="10"/>
        <v>80</v>
      </c>
      <c r="J50" s="82"/>
      <c r="K50" s="81">
        <f t="shared" si="7"/>
        <v>195892</v>
      </c>
      <c r="L50" s="241">
        <f>7350+36730+36730</f>
        <v>80810</v>
      </c>
      <c r="M50" s="241">
        <f>29400</f>
        <v>29400</v>
      </c>
      <c r="N50" s="241">
        <v>0</v>
      </c>
      <c r="O50" s="241">
        <f>4900+41630+39152</f>
        <v>85682</v>
      </c>
      <c r="P50" s="44"/>
      <c r="R50" s="54">
        <f t="shared" si="11"/>
        <v>80810</v>
      </c>
      <c r="S50" s="54">
        <f t="shared" si="11"/>
        <v>29400</v>
      </c>
      <c r="T50" s="54">
        <f t="shared" si="11"/>
        <v>0</v>
      </c>
      <c r="U50" s="54">
        <f t="shared" si="11"/>
        <v>85682</v>
      </c>
      <c r="X50" s="130">
        <f t="shared" si="4"/>
        <v>311784</v>
      </c>
    </row>
    <row r="51" spans="1:24" s="30" customFormat="1" ht="37.5">
      <c r="A51" s="23" t="s">
        <v>126</v>
      </c>
      <c r="B51" s="17">
        <v>170</v>
      </c>
      <c r="C51" s="320">
        <f>'Звіт 2019'!G46</f>
        <v>-792.46433</v>
      </c>
      <c r="D51" s="107">
        <f t="shared" si="8"/>
        <v>-1439.5158999999999</v>
      </c>
      <c r="E51" s="106">
        <f t="shared" si="6"/>
        <v>-1446.7197167487684</v>
      </c>
      <c r="F51" s="107">
        <f>'Фін.план 2020 (зміни 1)'!F51</f>
        <v>-812</v>
      </c>
      <c r="G51" s="107">
        <f>-1439515.9/1000</f>
        <v>-1439.5158999999999</v>
      </c>
      <c r="H51" s="343">
        <f t="shared" si="9"/>
        <v>627.5158999999999</v>
      </c>
      <c r="I51" s="107">
        <f t="shared" si="10"/>
        <v>177.2802832512315</v>
      </c>
      <c r="J51" s="82"/>
      <c r="K51" s="81">
        <f t="shared" si="7"/>
        <v>812000</v>
      </c>
      <c r="L51" s="241">
        <v>235000</v>
      </c>
      <c r="M51" s="241">
        <v>214800</v>
      </c>
      <c r="N51" s="241">
        <v>177000</v>
      </c>
      <c r="O51" s="241">
        <v>185200</v>
      </c>
      <c r="P51" s="44"/>
      <c r="R51" s="54">
        <f t="shared" si="11"/>
        <v>235000</v>
      </c>
      <c r="S51" s="54">
        <f t="shared" si="11"/>
        <v>214800</v>
      </c>
      <c r="T51" s="54">
        <f t="shared" si="11"/>
        <v>177000</v>
      </c>
      <c r="U51" s="54">
        <f t="shared" si="11"/>
        <v>185200</v>
      </c>
      <c r="X51" s="130">
        <f t="shared" si="4"/>
        <v>1446719.7167487685</v>
      </c>
    </row>
    <row r="52" spans="1:24" s="30" customFormat="1" ht="18.75">
      <c r="A52" s="23" t="s">
        <v>127</v>
      </c>
      <c r="B52" s="17">
        <v>180</v>
      </c>
      <c r="C52" s="320">
        <f>'Звіт 2019'!G47</f>
        <v>-20539.875490000002</v>
      </c>
      <c r="D52" s="107">
        <f t="shared" si="8"/>
        <v>-22209.7753</v>
      </c>
      <c r="E52" s="106">
        <f>SUM(F52:I52)</f>
        <v>-44074.3217418587</v>
      </c>
      <c r="F52" s="107">
        <f>'Фін.план 2020 (зміни 1)'!F52</f>
        <v>-22087.43781</v>
      </c>
      <c r="G52" s="107">
        <f>-22209775.3/1000</f>
        <v>-22209.7753</v>
      </c>
      <c r="H52" s="343">
        <f t="shared" si="9"/>
        <v>122.33749000000171</v>
      </c>
      <c r="I52" s="107">
        <f t="shared" si="10"/>
        <v>100.55387814128723</v>
      </c>
      <c r="J52" s="82"/>
      <c r="K52" s="242">
        <f t="shared" si="7"/>
        <v>22087437.810000002</v>
      </c>
      <c r="L52" s="94">
        <f>1650000*3+283658.5+368852.48+40983.61-15+7786.89</f>
        <v>5651266.48</v>
      </c>
      <c r="M52" s="94">
        <f>1650000*3+73730.48+81967.21+368852+3278.69+40983.61+10-51065.57</f>
        <v>5467756.420000001</v>
      </c>
      <c r="N52" s="94">
        <f>1650000*3+95941.66+372131.15+3278.69+54508.2-541+8606.56</f>
        <v>5483925.260000001</v>
      </c>
      <c r="O52" s="94">
        <f>1650000*3+55685.76+413114.75+3278.69+54508.2-541+8442.62+0.63</f>
        <v>5484489.65</v>
      </c>
      <c r="P52" s="44"/>
      <c r="R52" s="54">
        <f t="shared" si="11"/>
        <v>5651266.48</v>
      </c>
      <c r="S52" s="54">
        <f t="shared" si="11"/>
        <v>5467756.420000001</v>
      </c>
      <c r="T52" s="54">
        <f t="shared" si="11"/>
        <v>5483925.260000001</v>
      </c>
      <c r="U52" s="54">
        <f t="shared" si="11"/>
        <v>5484489.65</v>
      </c>
      <c r="X52" s="130">
        <f t="shared" si="4"/>
        <v>44074321.7418587</v>
      </c>
    </row>
    <row r="53" spans="1:24" s="30" customFormat="1" ht="18.75">
      <c r="A53" s="23" t="s">
        <v>128</v>
      </c>
      <c r="B53" s="17">
        <v>190</v>
      </c>
      <c r="C53" s="320">
        <f>'Звіт 2019'!G48</f>
        <v>-4544.18332</v>
      </c>
      <c r="D53" s="107">
        <f t="shared" si="8"/>
        <v>-4875.8773200000005</v>
      </c>
      <c r="E53" s="106">
        <f t="shared" si="6"/>
        <v>-9540.950625605574</v>
      </c>
      <c r="F53" s="107">
        <f>'Фін.план 2020 (зміни 1)'!F53</f>
        <v>-4821.044</v>
      </c>
      <c r="G53" s="107">
        <f>-4875877.32/1000</f>
        <v>-4875.8773200000005</v>
      </c>
      <c r="H53" s="343">
        <f t="shared" si="9"/>
        <v>54.83332000000064</v>
      </c>
      <c r="I53" s="107">
        <f t="shared" si="10"/>
        <v>101.13737439442578</v>
      </c>
      <c r="J53" s="82"/>
      <c r="K53" s="242">
        <f t="shared" si="7"/>
        <v>4821044</v>
      </c>
      <c r="L53" s="94">
        <f>360000*3+62404.87+81148.33+9016.39-604+1713.11</f>
        <v>1233678.7000000002</v>
      </c>
      <c r="M53" s="94">
        <f>360000*3+16220.7+18032.79+81148+721.31+9016.39-510-11234.43</f>
        <v>1193394.76</v>
      </c>
      <c r="N53" s="94">
        <f>360000*3+21107.16+81868.85+721.31+11991.8-659+1893.44</f>
        <v>1196923.56</v>
      </c>
      <c r="O53" s="94">
        <f>360000*3+12250.87+90885.25+721.31+11991.8-659+1857.38-0.63</f>
        <v>1197046.9800000002</v>
      </c>
      <c r="P53" s="44"/>
      <c r="R53" s="54">
        <f t="shared" si="11"/>
        <v>1233678.7000000002</v>
      </c>
      <c r="S53" s="54">
        <f t="shared" si="11"/>
        <v>1193394.76</v>
      </c>
      <c r="T53" s="54">
        <f t="shared" si="11"/>
        <v>1196923.56</v>
      </c>
      <c r="U53" s="54">
        <f t="shared" si="11"/>
        <v>1197046.9800000002</v>
      </c>
      <c r="X53" s="130">
        <f t="shared" si="4"/>
        <v>9540950.625605574</v>
      </c>
    </row>
    <row r="54" spans="1:24" s="30" customFormat="1" ht="18.75">
      <c r="A54" s="23" t="s">
        <v>129</v>
      </c>
      <c r="B54" s="17">
        <v>200</v>
      </c>
      <c r="C54" s="320">
        <f>'Звіт 2019'!G49</f>
        <v>-35.81454</v>
      </c>
      <c r="D54" s="107">
        <f t="shared" si="8"/>
        <v>-12.3636</v>
      </c>
      <c r="E54" s="106">
        <f t="shared" si="6"/>
        <v>-70.2425</v>
      </c>
      <c r="F54" s="107">
        <f>'Фін.план 2020 (зміни 1)'!F54</f>
        <v>-48</v>
      </c>
      <c r="G54" s="107">
        <f>-12363.6/1000</f>
        <v>-12.3636</v>
      </c>
      <c r="H54" s="343">
        <f t="shared" si="9"/>
        <v>-35.6364</v>
      </c>
      <c r="I54" s="107">
        <f t="shared" si="10"/>
        <v>25.7575</v>
      </c>
      <c r="J54" s="82"/>
      <c r="K54" s="81">
        <f t="shared" si="7"/>
        <v>48000</v>
      </c>
      <c r="L54" s="241">
        <v>15000</v>
      </c>
      <c r="M54" s="241">
        <v>15000</v>
      </c>
      <c r="N54" s="241">
        <v>10000</v>
      </c>
      <c r="O54" s="241">
        <v>8000</v>
      </c>
      <c r="P54" s="44"/>
      <c r="R54" s="54">
        <f t="shared" si="11"/>
        <v>15000</v>
      </c>
      <c r="S54" s="54">
        <f t="shared" si="11"/>
        <v>15000</v>
      </c>
      <c r="T54" s="54">
        <f t="shared" si="11"/>
        <v>10000</v>
      </c>
      <c r="U54" s="54">
        <f t="shared" si="11"/>
        <v>8000</v>
      </c>
      <c r="X54" s="130">
        <f t="shared" si="4"/>
        <v>70242.5</v>
      </c>
    </row>
    <row r="55" spans="1:24" s="30" customFormat="1" ht="18.75">
      <c r="A55" s="23" t="s">
        <v>130</v>
      </c>
      <c r="B55" s="17">
        <v>210</v>
      </c>
      <c r="C55" s="320">
        <f>'Звіт 2019'!G50</f>
        <v>-5.498</v>
      </c>
      <c r="D55" s="107">
        <f t="shared" si="8"/>
        <v>-14.944</v>
      </c>
      <c r="E55" s="106">
        <f t="shared" si="6"/>
        <v>9.77600000000001</v>
      </c>
      <c r="F55" s="107">
        <f>'Фін.план 2020 (зміни 1)'!F55</f>
        <v>-25</v>
      </c>
      <c r="G55" s="107">
        <f>-14944/1000</f>
        <v>-14.944</v>
      </c>
      <c r="H55" s="343">
        <f t="shared" si="9"/>
        <v>-10.056</v>
      </c>
      <c r="I55" s="107">
        <f t="shared" si="10"/>
        <v>59.77600000000001</v>
      </c>
      <c r="J55" s="82"/>
      <c r="K55" s="81">
        <f t="shared" si="7"/>
        <v>25000</v>
      </c>
      <c r="L55" s="241">
        <v>0</v>
      </c>
      <c r="M55" s="241">
        <v>15000</v>
      </c>
      <c r="N55" s="241">
        <v>5000</v>
      </c>
      <c r="O55" s="241">
        <v>5000</v>
      </c>
      <c r="P55" s="44"/>
      <c r="R55" s="54">
        <f t="shared" si="11"/>
        <v>0</v>
      </c>
      <c r="S55" s="54">
        <f t="shared" si="11"/>
        <v>15000</v>
      </c>
      <c r="T55" s="54">
        <f t="shared" si="11"/>
        <v>5000</v>
      </c>
      <c r="U55" s="54">
        <f t="shared" si="11"/>
        <v>5000</v>
      </c>
      <c r="X55" s="130">
        <f t="shared" si="4"/>
        <v>-9776.000000000011</v>
      </c>
    </row>
    <row r="56" spans="1:24" s="30" customFormat="1" ht="18.75">
      <c r="A56" s="185" t="s">
        <v>405</v>
      </c>
      <c r="B56" s="17">
        <v>220</v>
      </c>
      <c r="C56" s="320">
        <f>'Звіт 2019'!G51</f>
        <v>0</v>
      </c>
      <c r="D56" s="107">
        <f t="shared" si="8"/>
        <v>-473.46412</v>
      </c>
      <c r="E56" s="106">
        <f t="shared" si="6"/>
        <v>-681.63397</v>
      </c>
      <c r="F56" s="107">
        <f>'Фін.план 2020 (зміни 1)'!F56</f>
        <v>-400</v>
      </c>
      <c r="G56" s="107">
        <f>-473464.12/1000</f>
        <v>-473.46412</v>
      </c>
      <c r="H56" s="343">
        <f t="shared" si="9"/>
        <v>73.46411999999998</v>
      </c>
      <c r="I56" s="107">
        <f t="shared" si="10"/>
        <v>118.36603</v>
      </c>
      <c r="J56" s="44"/>
      <c r="K56" s="81">
        <f>L56+M56+N56+O56</f>
        <v>400000</v>
      </c>
      <c r="L56" s="301">
        <f>20000+32470+42270</f>
        <v>94740</v>
      </c>
      <c r="M56" s="301">
        <f>40950+61100+1000</f>
        <v>103050</v>
      </c>
      <c r="N56" s="301">
        <f>1000+1000+3000</f>
        <v>5000</v>
      </c>
      <c r="O56" s="301">
        <f>32450+7450+7310+81745+18255+50000</f>
        <v>197210</v>
      </c>
      <c r="P56" s="302" t="s">
        <v>928</v>
      </c>
      <c r="R56" s="54">
        <f t="shared" si="11"/>
        <v>94740</v>
      </c>
      <c r="S56" s="54">
        <f t="shared" si="11"/>
        <v>103050</v>
      </c>
      <c r="T56" s="54">
        <f t="shared" si="11"/>
        <v>5000</v>
      </c>
      <c r="U56" s="54">
        <f t="shared" si="11"/>
        <v>197210</v>
      </c>
      <c r="X56" s="130">
        <f t="shared" si="4"/>
        <v>681633.97</v>
      </c>
    </row>
    <row r="57" spans="1:24" s="30" customFormat="1" ht="41.25" customHeight="1">
      <c r="A57" s="23" t="s">
        <v>131</v>
      </c>
      <c r="B57" s="17">
        <v>230</v>
      </c>
      <c r="C57" s="320">
        <f>'Звіт 2019'!G52</f>
        <v>-391.435</v>
      </c>
      <c r="D57" s="107">
        <f t="shared" si="8"/>
        <v>0</v>
      </c>
      <c r="E57" s="106">
        <f t="shared" si="6"/>
        <v>-46.14358</v>
      </c>
      <c r="F57" s="107">
        <f>'Фін.план 2020 (зміни 1)'!F57</f>
        <v>-23.07179</v>
      </c>
      <c r="G57" s="107">
        <f>-M57/1000</f>
        <v>0</v>
      </c>
      <c r="H57" s="343">
        <f t="shared" si="9"/>
        <v>-23.07179</v>
      </c>
      <c r="I57" s="343">
        <f t="shared" si="10"/>
        <v>0</v>
      </c>
      <c r="J57" s="82"/>
      <c r="K57" s="81">
        <f>L57+M57+N57+O57</f>
        <v>23071.79</v>
      </c>
      <c r="L57" s="241">
        <v>0</v>
      </c>
      <c r="M57" s="241">
        <v>0</v>
      </c>
      <c r="N57" s="241">
        <v>23071.79</v>
      </c>
      <c r="O57" s="241">
        <v>0</v>
      </c>
      <c r="P57" s="44"/>
      <c r="R57" s="54">
        <f t="shared" si="11"/>
        <v>0</v>
      </c>
      <c r="S57" s="54">
        <f t="shared" si="11"/>
        <v>0</v>
      </c>
      <c r="T57" s="54">
        <f t="shared" si="11"/>
        <v>23071.79</v>
      </c>
      <c r="U57" s="54">
        <f t="shared" si="11"/>
        <v>0</v>
      </c>
      <c r="X57" s="130">
        <f t="shared" si="4"/>
        <v>46143.58</v>
      </c>
    </row>
    <row r="58" spans="1:24" s="30" customFormat="1" ht="18.75">
      <c r="A58" s="23" t="s">
        <v>132</v>
      </c>
      <c r="B58" s="17">
        <v>240</v>
      </c>
      <c r="C58" s="320">
        <f>'Звіт 2019'!G53</f>
        <v>0</v>
      </c>
      <c r="D58" s="107">
        <f>G58</f>
        <v>0</v>
      </c>
      <c r="E58" s="106">
        <f t="shared" si="6"/>
        <v>0</v>
      </c>
      <c r="F58" s="107">
        <f>'Фін.план 2020 (зміни 1)'!F58</f>
        <v>0</v>
      </c>
      <c r="G58" s="107">
        <v>0</v>
      </c>
      <c r="H58" s="107">
        <f t="shared" si="9"/>
        <v>0</v>
      </c>
      <c r="I58" s="107">
        <v>0</v>
      </c>
      <c r="J58" s="44"/>
      <c r="K58" s="79"/>
      <c r="L58" s="44"/>
      <c r="M58" s="44"/>
      <c r="N58" s="44"/>
      <c r="O58" s="44"/>
      <c r="P58" s="44"/>
      <c r="R58" s="54">
        <f t="shared" si="11"/>
        <v>0</v>
      </c>
      <c r="S58" s="54">
        <f t="shared" si="11"/>
        <v>0</v>
      </c>
      <c r="T58" s="54">
        <f t="shared" si="11"/>
        <v>0</v>
      </c>
      <c r="U58" s="54">
        <f t="shared" si="11"/>
        <v>0</v>
      </c>
      <c r="X58" s="130">
        <f t="shared" si="4"/>
        <v>0</v>
      </c>
    </row>
    <row r="59" spans="1:24" s="30" customFormat="1" ht="30.75" customHeight="1">
      <c r="A59" s="23" t="s">
        <v>202</v>
      </c>
      <c r="B59" s="24">
        <v>250</v>
      </c>
      <c r="C59" s="320">
        <f>'Звіт 2019'!G54</f>
        <v>-2.75296</v>
      </c>
      <c r="D59" s="107">
        <f t="shared" si="8"/>
        <v>0</v>
      </c>
      <c r="E59" s="106">
        <f t="shared" si="6"/>
        <v>0</v>
      </c>
      <c r="F59" s="107">
        <f>'Фін.план 2020 (зміни 1)'!F59</f>
        <v>0</v>
      </c>
      <c r="G59" s="107">
        <v>0</v>
      </c>
      <c r="H59" s="107">
        <f t="shared" si="9"/>
        <v>0</v>
      </c>
      <c r="I59" s="107">
        <v>0</v>
      </c>
      <c r="J59" s="44"/>
      <c r="K59" s="79"/>
      <c r="L59" s="44"/>
      <c r="M59" s="44"/>
      <c r="N59" s="44"/>
      <c r="O59" s="44"/>
      <c r="P59" s="44"/>
      <c r="R59" s="54">
        <f t="shared" si="11"/>
        <v>0</v>
      </c>
      <c r="S59" s="54">
        <f t="shared" si="11"/>
        <v>0</v>
      </c>
      <c r="T59" s="54">
        <f t="shared" si="11"/>
        <v>0</v>
      </c>
      <c r="U59" s="54">
        <f t="shared" si="11"/>
        <v>0</v>
      </c>
      <c r="X59" s="130">
        <f t="shared" si="4"/>
        <v>0</v>
      </c>
    </row>
    <row r="60" spans="1:24" ht="18.75">
      <c r="A60" s="23" t="s">
        <v>134</v>
      </c>
      <c r="B60" s="24">
        <v>260</v>
      </c>
      <c r="C60" s="335">
        <f>SUM(C61:C69,C71)</f>
        <v>-4718.6708</v>
      </c>
      <c r="D60" s="108">
        <f>SUM(D61:D71)</f>
        <v>-5429.71403</v>
      </c>
      <c r="E60" s="108">
        <f t="shared" si="6"/>
        <v>-9076.695984034453</v>
      </c>
      <c r="F60" s="108">
        <f>SUM(F61:F71)</f>
        <v>-4597.4</v>
      </c>
      <c r="G60" s="108">
        <f>SUM(G61:G71)</f>
        <v>-5429.71403</v>
      </c>
      <c r="H60" s="345">
        <f>F60-G60</f>
        <v>832.3140300000005</v>
      </c>
      <c r="I60" s="110">
        <f>G60/F60*100</f>
        <v>118.10401596554576</v>
      </c>
      <c r="J60" s="44"/>
      <c r="K60" s="79"/>
      <c r="L60" s="124" t="s">
        <v>317</v>
      </c>
      <c r="M60" s="44"/>
      <c r="N60" s="44"/>
      <c r="O60" s="44"/>
      <c r="P60" s="44"/>
      <c r="R60" s="128">
        <f>R61+R62+R63+R64+R65+R66+R67+R68+R69+R70+R71</f>
        <v>1277600</v>
      </c>
      <c r="S60" s="128">
        <f>S61+S62+S63+S64+S65+S66+S67+S68+S69+S70+S71</f>
        <v>1156400</v>
      </c>
      <c r="T60" s="128">
        <f>T61+T62+T63+T64+T65+T66+T67+T68+T69+T70+T71</f>
        <v>1060100</v>
      </c>
      <c r="U60" s="128">
        <f>U61+U62+U63+U64+U65+U66+U67+U68+U69+U70+U71</f>
        <v>1103300</v>
      </c>
      <c r="X60" s="130">
        <f t="shared" si="4"/>
        <v>9076695.984034453</v>
      </c>
    </row>
    <row r="61" spans="1:24" ht="56.25">
      <c r="A61" s="26" t="s">
        <v>135</v>
      </c>
      <c r="B61" s="27">
        <v>261</v>
      </c>
      <c r="C61" s="320">
        <f>'Звіт 2019'!G56</f>
        <v>-20.022809999999996</v>
      </c>
      <c r="D61" s="107">
        <f>G61</f>
        <v>-20.47739</v>
      </c>
      <c r="E61" s="106">
        <f t="shared" si="6"/>
        <v>-168.44485263157895</v>
      </c>
      <c r="F61" s="107">
        <f>'Фін.план 2020 (зміни 1)'!F61</f>
        <v>-95</v>
      </c>
      <c r="G61" s="107">
        <f>-20477.39/1000</f>
        <v>-20.47739</v>
      </c>
      <c r="H61" s="343">
        <f t="shared" si="9"/>
        <v>-74.52261</v>
      </c>
      <c r="I61" s="107">
        <f t="shared" si="10"/>
        <v>21.55514736842105</v>
      </c>
      <c r="J61" s="82"/>
      <c r="K61" s="81">
        <f aca="true" t="shared" si="12" ref="K61:K69">L61+M61+N61+O61</f>
        <v>95000</v>
      </c>
      <c r="L61" s="241">
        <v>23000</v>
      </c>
      <c r="M61" s="241">
        <v>23000</v>
      </c>
      <c r="N61" s="241">
        <v>23000</v>
      </c>
      <c r="O61" s="241">
        <v>26000</v>
      </c>
      <c r="P61" s="44"/>
      <c r="R61" s="86">
        <f>L61</f>
        <v>23000</v>
      </c>
      <c r="S61" s="86">
        <f>M61</f>
        <v>23000</v>
      </c>
      <c r="T61" s="86">
        <f>N61</f>
        <v>23000</v>
      </c>
      <c r="U61" s="86">
        <f>O61</f>
        <v>26000</v>
      </c>
      <c r="X61" s="130">
        <f t="shared" si="4"/>
        <v>168444.85263157895</v>
      </c>
    </row>
    <row r="62" spans="1:24" ht="42" customHeight="1">
      <c r="A62" s="26" t="s">
        <v>126</v>
      </c>
      <c r="B62" s="27">
        <v>262</v>
      </c>
      <c r="C62" s="320">
        <f>'Звіт 2019'!G57</f>
        <v>-69.74877000000001</v>
      </c>
      <c r="D62" s="107">
        <f aca="true" t="shared" si="13" ref="D62:D71">G62</f>
        <v>-89.75105</v>
      </c>
      <c r="E62" s="106">
        <f t="shared" si="6"/>
        <v>-287.2052647058823</v>
      </c>
      <c r="F62" s="107">
        <f>'Фін.план 2020 (зміни 1)'!F62</f>
        <v>-170</v>
      </c>
      <c r="G62" s="107">
        <f>-89751.05/1000</f>
        <v>-89.75105</v>
      </c>
      <c r="H62" s="343">
        <f aca="true" t="shared" si="14" ref="H62:H71">F62-G62</f>
        <v>-80.24895</v>
      </c>
      <c r="I62" s="107">
        <f aca="true" t="shared" si="15" ref="I62:I71">G62/F62*100</f>
        <v>52.79473529411766</v>
      </c>
      <c r="J62" s="82"/>
      <c r="K62" s="81">
        <f t="shared" si="12"/>
        <v>170000</v>
      </c>
      <c r="L62" s="241">
        <v>45000</v>
      </c>
      <c r="M62" s="241">
        <v>40000</v>
      </c>
      <c r="N62" s="241">
        <v>40000</v>
      </c>
      <c r="O62" s="241">
        <v>45000</v>
      </c>
      <c r="P62" s="44"/>
      <c r="R62" s="86">
        <f aca="true" t="shared" si="16" ref="R62:U71">L62</f>
        <v>45000</v>
      </c>
      <c r="S62" s="86">
        <f t="shared" si="16"/>
        <v>40000</v>
      </c>
      <c r="T62" s="86">
        <f t="shared" si="16"/>
        <v>40000</v>
      </c>
      <c r="U62" s="86">
        <f t="shared" si="16"/>
        <v>45000</v>
      </c>
      <c r="X62" s="130">
        <f t="shared" si="4"/>
        <v>287205.2647058823</v>
      </c>
    </row>
    <row r="63" spans="1:24" s="30" customFormat="1" ht="21" customHeight="1">
      <c r="A63" s="26" t="s">
        <v>136</v>
      </c>
      <c r="B63" s="27">
        <v>263</v>
      </c>
      <c r="C63" s="320">
        <f>'Звіт 2019'!G58</f>
        <v>-4.22591</v>
      </c>
      <c r="D63" s="107">
        <f t="shared" si="13"/>
        <v>-0.43119999999999997</v>
      </c>
      <c r="E63" s="106">
        <f t="shared" si="6"/>
        <v>-7.840000000000001</v>
      </c>
      <c r="F63" s="107">
        <f>'Фін.план 2020 (зміни 1)'!F63</f>
        <v>-7</v>
      </c>
      <c r="G63" s="107">
        <f>-431.2/1000</f>
        <v>-0.43119999999999997</v>
      </c>
      <c r="H63" s="343">
        <f t="shared" si="14"/>
        <v>-6.5688</v>
      </c>
      <c r="I63" s="107">
        <f t="shared" si="15"/>
        <v>6.159999999999999</v>
      </c>
      <c r="J63" s="82"/>
      <c r="K63" s="81">
        <f t="shared" si="12"/>
        <v>7000</v>
      </c>
      <c r="L63" s="241">
        <v>4000</v>
      </c>
      <c r="M63" s="241">
        <v>1000</v>
      </c>
      <c r="N63" s="241">
        <v>1000</v>
      </c>
      <c r="O63" s="241">
        <v>1000</v>
      </c>
      <c r="P63" s="44"/>
      <c r="R63" s="86">
        <f t="shared" si="16"/>
        <v>4000</v>
      </c>
      <c r="S63" s="86">
        <f t="shared" si="16"/>
        <v>1000</v>
      </c>
      <c r="T63" s="86">
        <f t="shared" si="16"/>
        <v>1000</v>
      </c>
      <c r="U63" s="86">
        <f t="shared" si="16"/>
        <v>1000</v>
      </c>
      <c r="X63" s="130">
        <f t="shared" si="4"/>
        <v>7840.000000000001</v>
      </c>
    </row>
    <row r="64" spans="1:24" s="30" customFormat="1" ht="18.75">
      <c r="A64" s="26" t="s">
        <v>137</v>
      </c>
      <c r="B64" s="27">
        <v>264</v>
      </c>
      <c r="C64" s="320">
        <f>'Звіт 2019'!G59</f>
        <v>-3574.6512000000002</v>
      </c>
      <c r="D64" s="107">
        <f t="shared" si="13"/>
        <v>-4095.28092</v>
      </c>
      <c r="E64" s="106">
        <f t="shared" si="6"/>
        <v>-6621.328773803169</v>
      </c>
      <c r="F64" s="107">
        <f>'Фін.план 2020 (зміни 1)'!F64</f>
        <v>-3371.4</v>
      </c>
      <c r="G64" s="107">
        <f>-4095280.92/1000</f>
        <v>-4095.28092</v>
      </c>
      <c r="H64" s="343">
        <f t="shared" si="14"/>
        <v>723.8809200000001</v>
      </c>
      <c r="I64" s="107">
        <f t="shared" si="15"/>
        <v>121.47122619683218</v>
      </c>
      <c r="J64" s="82"/>
      <c r="K64" s="87">
        <f t="shared" si="12"/>
        <v>3371400</v>
      </c>
      <c r="L64" s="80">
        <f>260000*3+79001+40984+15</f>
        <v>900000</v>
      </c>
      <c r="M64" s="80">
        <f>260000*3+34426+40984-10</f>
        <v>855400</v>
      </c>
      <c r="N64" s="80">
        <f>260000*3+27459+541</f>
        <v>808000</v>
      </c>
      <c r="O64" s="80">
        <f>260000*3+27459+541</f>
        <v>808000</v>
      </c>
      <c r="P64" s="44"/>
      <c r="Q64" s="80"/>
      <c r="R64" s="86">
        <f t="shared" si="16"/>
        <v>900000</v>
      </c>
      <c r="S64" s="86">
        <f t="shared" si="16"/>
        <v>855400</v>
      </c>
      <c r="T64" s="86">
        <f t="shared" si="16"/>
        <v>808000</v>
      </c>
      <c r="U64" s="86">
        <f t="shared" si="16"/>
        <v>808000</v>
      </c>
      <c r="X64" s="130">
        <f t="shared" si="4"/>
        <v>6621328.773803169</v>
      </c>
    </row>
    <row r="65" spans="1:24" s="30" customFormat="1" ht="18.75">
      <c r="A65" s="26" t="s">
        <v>138</v>
      </c>
      <c r="B65" s="27">
        <v>265</v>
      </c>
      <c r="C65" s="320">
        <f>'Звіт 2019'!G60</f>
        <v>-763.5354299999999</v>
      </c>
      <c r="D65" s="107">
        <f t="shared" si="13"/>
        <v>-908.0363299999999</v>
      </c>
      <c r="E65" s="106">
        <f t="shared" si="6"/>
        <v>-1360.5406163182738</v>
      </c>
      <c r="F65" s="107">
        <f>'Фін.план 2020 (зміни 1)'!F65</f>
        <v>-741.5</v>
      </c>
      <c r="G65" s="107">
        <f>-908036.33/1000</f>
        <v>-908.0363299999999</v>
      </c>
      <c r="H65" s="343">
        <f t="shared" si="14"/>
        <v>166.5363299999999</v>
      </c>
      <c r="I65" s="107">
        <f t="shared" si="15"/>
        <v>122.45938368172622</v>
      </c>
      <c r="J65" s="82"/>
      <c r="K65" s="87">
        <f t="shared" si="12"/>
        <v>741500</v>
      </c>
      <c r="L65" s="80">
        <f>57000*3+17380+9016+604</f>
        <v>198000</v>
      </c>
      <c r="M65" s="80">
        <f>57000*3+7574+9016+510</f>
        <v>188100</v>
      </c>
      <c r="N65" s="80">
        <f>57000*3+6041+659</f>
        <v>177700</v>
      </c>
      <c r="O65" s="80">
        <f>57000*3+6041+659</f>
        <v>177700</v>
      </c>
      <c r="P65" s="44"/>
      <c r="Q65" s="80"/>
      <c r="R65" s="86">
        <f t="shared" si="16"/>
        <v>198000</v>
      </c>
      <c r="S65" s="86">
        <f t="shared" si="16"/>
        <v>188100</v>
      </c>
      <c r="T65" s="86">
        <f t="shared" si="16"/>
        <v>177700</v>
      </c>
      <c r="U65" s="86">
        <f t="shared" si="16"/>
        <v>177700</v>
      </c>
      <c r="X65" s="130">
        <f t="shared" si="4"/>
        <v>1360540.6163182738</v>
      </c>
    </row>
    <row r="66" spans="1:24" s="30" customFormat="1" ht="21" customHeight="1">
      <c r="A66" s="26" t="s">
        <v>122</v>
      </c>
      <c r="B66" s="27">
        <v>266</v>
      </c>
      <c r="C66" s="320">
        <f>'Звіт 2019'!G61</f>
        <v>-124.86523</v>
      </c>
      <c r="D66" s="107">
        <f t="shared" si="13"/>
        <v>-72.86052000000001</v>
      </c>
      <c r="E66" s="106">
        <f t="shared" si="6"/>
        <v>-244.43502040816327</v>
      </c>
      <c r="F66" s="107">
        <f>'Фін.план 2020 (зміни 1)'!F66</f>
        <v>-147</v>
      </c>
      <c r="G66" s="107">
        <f>-72860.52/1000</f>
        <v>-72.86052000000001</v>
      </c>
      <c r="H66" s="343">
        <f t="shared" si="14"/>
        <v>-74.13947999999999</v>
      </c>
      <c r="I66" s="107">
        <f t="shared" si="15"/>
        <v>49.56497959183674</v>
      </c>
      <c r="J66" s="82"/>
      <c r="K66" s="81">
        <f t="shared" si="12"/>
        <v>147000</v>
      </c>
      <c r="L66" s="184">
        <v>85200</v>
      </c>
      <c r="M66" s="184">
        <v>32600</v>
      </c>
      <c r="N66" s="184">
        <v>0</v>
      </c>
      <c r="O66" s="184">
        <v>29200</v>
      </c>
      <c r="P66" s="44"/>
      <c r="R66" s="86">
        <f t="shared" si="16"/>
        <v>85200</v>
      </c>
      <c r="S66" s="86">
        <f t="shared" si="16"/>
        <v>32600</v>
      </c>
      <c r="T66" s="86">
        <f t="shared" si="16"/>
        <v>0</v>
      </c>
      <c r="U66" s="86">
        <f t="shared" si="16"/>
        <v>29200</v>
      </c>
      <c r="X66" s="130">
        <f t="shared" si="4"/>
        <v>244435.02040816325</v>
      </c>
    </row>
    <row r="67" spans="1:24" s="30" customFormat="1" ht="18.75">
      <c r="A67" s="26" t="s">
        <v>123</v>
      </c>
      <c r="B67" s="27">
        <v>267</v>
      </c>
      <c r="C67" s="320">
        <f>'Звіт 2019'!G62</f>
        <v>-3.2016199999999997</v>
      </c>
      <c r="D67" s="107">
        <f t="shared" si="13"/>
        <v>-2.10433</v>
      </c>
      <c r="E67" s="106">
        <f t="shared" si="6"/>
        <v>53.12371428571429</v>
      </c>
      <c r="F67" s="107">
        <f>'Фін.план 2020 (зміни 1)'!F67</f>
        <v>-3.5</v>
      </c>
      <c r="G67" s="107">
        <f>-2104.33/1000</f>
        <v>-2.10433</v>
      </c>
      <c r="H67" s="343">
        <f t="shared" si="14"/>
        <v>-1.39567</v>
      </c>
      <c r="I67" s="107">
        <f t="shared" si="15"/>
        <v>60.12371428571429</v>
      </c>
      <c r="J67" s="82"/>
      <c r="K67" s="81">
        <f t="shared" si="12"/>
        <v>3500</v>
      </c>
      <c r="L67" s="241">
        <v>900</v>
      </c>
      <c r="M67" s="241">
        <v>800</v>
      </c>
      <c r="N67" s="241">
        <v>900</v>
      </c>
      <c r="O67" s="241">
        <v>900</v>
      </c>
      <c r="P67" s="44"/>
      <c r="R67" s="86">
        <f t="shared" si="16"/>
        <v>900</v>
      </c>
      <c r="S67" s="86">
        <f t="shared" si="16"/>
        <v>800</v>
      </c>
      <c r="T67" s="86">
        <f t="shared" si="16"/>
        <v>900</v>
      </c>
      <c r="U67" s="86">
        <f t="shared" si="16"/>
        <v>900</v>
      </c>
      <c r="X67" s="130">
        <f t="shared" si="4"/>
        <v>-53123.71428571429</v>
      </c>
    </row>
    <row r="68" spans="1:24" s="30" customFormat="1" ht="18.75">
      <c r="A68" s="23" t="s">
        <v>120</v>
      </c>
      <c r="B68" s="27">
        <v>268</v>
      </c>
      <c r="C68" s="320">
        <f>'Звіт 2019'!G63</f>
        <v>-84.20401</v>
      </c>
      <c r="D68" s="107">
        <f t="shared" si="13"/>
        <v>-57.38897</v>
      </c>
      <c r="E68" s="106">
        <f t="shared" si="6"/>
        <v>63.47242499999999</v>
      </c>
      <c r="F68" s="107">
        <f>'Фін.план 2020 (зміни 1)'!F68</f>
        <v>-40</v>
      </c>
      <c r="G68" s="107">
        <f>-57388.97/1000</f>
        <v>-57.38897</v>
      </c>
      <c r="H68" s="343">
        <f t="shared" si="14"/>
        <v>17.38897</v>
      </c>
      <c r="I68" s="107">
        <f t="shared" si="15"/>
        <v>143.472425</v>
      </c>
      <c r="J68" s="82"/>
      <c r="K68" s="81">
        <f t="shared" si="12"/>
        <v>40000</v>
      </c>
      <c r="L68" s="241">
        <v>11000</v>
      </c>
      <c r="M68" s="241">
        <v>10000</v>
      </c>
      <c r="N68" s="241">
        <v>9000</v>
      </c>
      <c r="O68" s="241">
        <v>10000</v>
      </c>
      <c r="P68" s="44"/>
      <c r="R68" s="86">
        <f t="shared" si="16"/>
        <v>11000</v>
      </c>
      <c r="S68" s="86">
        <f t="shared" si="16"/>
        <v>10000</v>
      </c>
      <c r="T68" s="86">
        <f t="shared" si="16"/>
        <v>9000</v>
      </c>
      <c r="U68" s="86">
        <f t="shared" si="16"/>
        <v>10000</v>
      </c>
      <c r="X68" s="130">
        <f t="shared" si="4"/>
        <v>-63472.42499999999</v>
      </c>
    </row>
    <row r="69" spans="1:24" s="30" customFormat="1" ht="21" customHeight="1">
      <c r="A69" s="23" t="s">
        <v>130</v>
      </c>
      <c r="B69" s="27">
        <v>269</v>
      </c>
      <c r="C69" s="320">
        <f>'Звіт 2019'!G64</f>
        <v>-29.084</v>
      </c>
      <c r="D69" s="107">
        <f t="shared" si="13"/>
        <v>-6.201</v>
      </c>
      <c r="E69" s="106">
        <f t="shared" si="6"/>
        <v>-8.995000000000001</v>
      </c>
      <c r="F69" s="107">
        <f>'Фін.план 2020 (зміни 1)'!F69</f>
        <v>-20</v>
      </c>
      <c r="G69" s="107">
        <f>-6201/1000</f>
        <v>-6.201</v>
      </c>
      <c r="H69" s="343">
        <f t="shared" si="14"/>
        <v>-13.799</v>
      </c>
      <c r="I69" s="107">
        <f t="shared" si="15"/>
        <v>31.005</v>
      </c>
      <c r="J69" s="82"/>
      <c r="K69" s="81">
        <f t="shared" si="12"/>
        <v>20000</v>
      </c>
      <c r="L69" s="241">
        <v>10000</v>
      </c>
      <c r="M69" s="241">
        <v>5000</v>
      </c>
      <c r="N69" s="241">
        <v>0</v>
      </c>
      <c r="O69" s="241">
        <v>5000</v>
      </c>
      <c r="P69" s="44"/>
      <c r="R69" s="86">
        <f t="shared" si="16"/>
        <v>10000</v>
      </c>
      <c r="S69" s="86">
        <f t="shared" si="16"/>
        <v>5000</v>
      </c>
      <c r="T69" s="86">
        <f t="shared" si="16"/>
        <v>0</v>
      </c>
      <c r="U69" s="86">
        <f t="shared" si="16"/>
        <v>5000</v>
      </c>
      <c r="X69" s="130">
        <f t="shared" si="4"/>
        <v>8995.000000000002</v>
      </c>
    </row>
    <row r="70" spans="1:24" s="30" customFormat="1" ht="18.75">
      <c r="A70" s="23" t="s">
        <v>139</v>
      </c>
      <c r="B70" s="24">
        <v>270</v>
      </c>
      <c r="C70" s="320">
        <f>'Звіт 2019'!G65</f>
        <v>0</v>
      </c>
      <c r="D70" s="107">
        <f t="shared" si="13"/>
        <v>0</v>
      </c>
      <c r="E70" s="106">
        <f>SUM(F70:I70)</f>
        <v>0</v>
      </c>
      <c r="F70" s="107">
        <f>'Фін.план 2020 (зміни 1)'!F70</f>
        <v>0</v>
      </c>
      <c r="G70" s="107">
        <f>-M70/1000</f>
        <v>0</v>
      </c>
      <c r="H70" s="107">
        <f t="shared" si="14"/>
        <v>0</v>
      </c>
      <c r="I70" s="107">
        <v>0</v>
      </c>
      <c r="J70" s="44"/>
      <c r="K70" s="79"/>
      <c r="L70" s="44"/>
      <c r="M70" s="44"/>
      <c r="N70" s="44"/>
      <c r="O70" s="44"/>
      <c r="P70" s="44"/>
      <c r="R70" s="86">
        <f t="shared" si="16"/>
        <v>0</v>
      </c>
      <c r="S70" s="86">
        <f t="shared" si="16"/>
        <v>0</v>
      </c>
      <c r="T70" s="86">
        <f t="shared" si="16"/>
        <v>0</v>
      </c>
      <c r="U70" s="86">
        <f t="shared" si="16"/>
        <v>0</v>
      </c>
      <c r="X70" s="130">
        <f t="shared" si="4"/>
        <v>0</v>
      </c>
    </row>
    <row r="71" spans="1:24" s="30" customFormat="1" ht="37.5">
      <c r="A71" s="23" t="s">
        <v>203</v>
      </c>
      <c r="B71" s="24">
        <v>280</v>
      </c>
      <c r="C71" s="320">
        <f>'Звіт 2019'!G66</f>
        <v>-45.13182</v>
      </c>
      <c r="D71" s="107">
        <f t="shared" si="13"/>
        <v>-177.18232</v>
      </c>
      <c r="E71" s="106">
        <f t="shared" si="6"/>
        <v>8855.116</v>
      </c>
      <c r="F71" s="107">
        <f>'Фін.план 2020 (зміни 1)'!F71</f>
        <v>-2</v>
      </c>
      <c r="G71" s="107">
        <f>-177182.32/1000</f>
        <v>-177.18232</v>
      </c>
      <c r="H71" s="343">
        <f t="shared" si="14"/>
        <v>175.18232</v>
      </c>
      <c r="I71" s="107">
        <f t="shared" si="15"/>
        <v>8859.116</v>
      </c>
      <c r="J71" s="82"/>
      <c r="K71" s="81">
        <f>L71+M71+N71+O71</f>
        <v>2000</v>
      </c>
      <c r="L71" s="241">
        <v>500</v>
      </c>
      <c r="M71" s="241">
        <v>500</v>
      </c>
      <c r="N71" s="241">
        <v>500</v>
      </c>
      <c r="O71" s="241">
        <v>500</v>
      </c>
      <c r="P71" s="44"/>
      <c r="R71" s="86">
        <f t="shared" si="16"/>
        <v>500</v>
      </c>
      <c r="S71" s="86">
        <f t="shared" si="16"/>
        <v>500</v>
      </c>
      <c r="T71" s="86">
        <f t="shared" si="16"/>
        <v>500</v>
      </c>
      <c r="U71" s="86">
        <f t="shared" si="16"/>
        <v>500</v>
      </c>
      <c r="X71" s="130">
        <f t="shared" si="4"/>
        <v>-8855116</v>
      </c>
    </row>
    <row r="72" spans="1:24" s="30" customFormat="1" ht="18.75">
      <c r="A72" s="23" t="s">
        <v>140</v>
      </c>
      <c r="B72" s="24">
        <v>290</v>
      </c>
      <c r="C72" s="29"/>
      <c r="D72" s="109">
        <f>SUM(D73:D74)</f>
        <v>0</v>
      </c>
      <c r="E72" s="106">
        <f t="shared" si="6"/>
        <v>0</v>
      </c>
      <c r="F72" s="109">
        <f>SUM(F73:F74)</f>
        <v>0</v>
      </c>
      <c r="G72" s="109">
        <f>SUM(G73:G74)</f>
        <v>0</v>
      </c>
      <c r="H72" s="109">
        <f>SUM(H73:H74)</f>
        <v>0</v>
      </c>
      <c r="I72" s="109">
        <f>SUM(I73:I74)</f>
        <v>0</v>
      </c>
      <c r="J72" s="44"/>
      <c r="K72" s="79"/>
      <c r="L72" s="124" t="s">
        <v>318</v>
      </c>
      <c r="M72" s="44"/>
      <c r="N72" s="44"/>
      <c r="O72" s="44"/>
      <c r="P72" s="44"/>
      <c r="R72" s="127">
        <f>R73+R74</f>
        <v>0</v>
      </c>
      <c r="S72" s="127">
        <f>S73+S74</f>
        <v>0</v>
      </c>
      <c r="T72" s="127">
        <f>T73+T74</f>
        <v>0</v>
      </c>
      <c r="U72" s="127">
        <f>U73+U74</f>
        <v>0</v>
      </c>
      <c r="X72" s="130">
        <f t="shared" si="4"/>
        <v>0</v>
      </c>
    </row>
    <row r="73" spans="1:24" s="30" customFormat="1" ht="18.75">
      <c r="A73" s="26" t="s">
        <v>141</v>
      </c>
      <c r="B73" s="32">
        <v>291</v>
      </c>
      <c r="C73" s="25">
        <f>'Звіт 2019'!G68</f>
        <v>0</v>
      </c>
      <c r="D73" s="107">
        <f>G73</f>
        <v>0</v>
      </c>
      <c r="E73" s="106">
        <f t="shared" si="6"/>
        <v>0</v>
      </c>
      <c r="F73" s="107">
        <f>'Фін.план 2020 (зміни 1)'!F73</f>
        <v>0</v>
      </c>
      <c r="G73" s="107">
        <v>0</v>
      </c>
      <c r="H73" s="107">
        <v>0</v>
      </c>
      <c r="I73" s="107">
        <v>0</v>
      </c>
      <c r="J73" s="44"/>
      <c r="K73" s="79"/>
      <c r="L73" s="44"/>
      <c r="M73" s="44"/>
      <c r="N73" s="44"/>
      <c r="O73" s="44"/>
      <c r="P73" s="44"/>
      <c r="R73" s="129">
        <f aca="true" t="shared" si="17" ref="R73:U76">L73</f>
        <v>0</v>
      </c>
      <c r="S73" s="129">
        <f t="shared" si="17"/>
        <v>0</v>
      </c>
      <c r="T73" s="129">
        <f t="shared" si="17"/>
        <v>0</v>
      </c>
      <c r="U73" s="129">
        <f t="shared" si="17"/>
        <v>0</v>
      </c>
      <c r="X73" s="130">
        <f t="shared" si="4"/>
        <v>0</v>
      </c>
    </row>
    <row r="74" spans="1:24" s="30" customFormat="1" ht="18" customHeight="1">
      <c r="A74" s="26" t="s">
        <v>142</v>
      </c>
      <c r="B74" s="32">
        <v>292</v>
      </c>
      <c r="C74" s="25">
        <f>'Звіт 2019'!G69</f>
        <v>0</v>
      </c>
      <c r="D74" s="107">
        <f>G74</f>
        <v>0</v>
      </c>
      <c r="E74" s="106">
        <f t="shared" si="6"/>
        <v>0</v>
      </c>
      <c r="F74" s="107">
        <f>'Фін.план 2020 (зміни 1)'!F74</f>
        <v>0</v>
      </c>
      <c r="G74" s="107">
        <v>0</v>
      </c>
      <c r="H74" s="107">
        <v>0</v>
      </c>
      <c r="I74" s="107">
        <v>0</v>
      </c>
      <c r="J74" s="44"/>
      <c r="K74" s="79"/>
      <c r="L74" s="44"/>
      <c r="M74" s="44"/>
      <c r="N74" s="44"/>
      <c r="O74" s="44"/>
      <c r="P74" s="44"/>
      <c r="R74" s="129">
        <f t="shared" si="17"/>
        <v>0</v>
      </c>
      <c r="S74" s="129">
        <f t="shared" si="17"/>
        <v>0</v>
      </c>
      <c r="T74" s="129">
        <f t="shared" si="17"/>
        <v>0</v>
      </c>
      <c r="U74" s="129">
        <f t="shared" si="17"/>
        <v>0</v>
      </c>
      <c r="X74" s="130">
        <f t="shared" si="4"/>
        <v>0</v>
      </c>
    </row>
    <row r="75" spans="1:24" s="30" customFormat="1" ht="37.5">
      <c r="A75" s="23" t="s">
        <v>143</v>
      </c>
      <c r="B75" s="14">
        <v>300</v>
      </c>
      <c r="C75" s="320">
        <f>'Звіт 2019'!G70</f>
        <v>-11.001</v>
      </c>
      <c r="D75" s="107">
        <f>G75</f>
        <v>-19.512</v>
      </c>
      <c r="E75" s="106">
        <f t="shared" si="6"/>
        <v>100.07999999999998</v>
      </c>
      <c r="F75" s="107">
        <f>'Фін.план 2020 (зміни 1)'!F75</f>
        <v>-15</v>
      </c>
      <c r="G75" s="107">
        <f>-19512/1000</f>
        <v>-19.512</v>
      </c>
      <c r="H75" s="343">
        <f>F75-G75</f>
        <v>4.5120000000000005</v>
      </c>
      <c r="I75" s="107">
        <f>G75/F75*100</f>
        <v>130.07999999999998</v>
      </c>
      <c r="J75" s="82"/>
      <c r="K75" s="81">
        <f>L75+M75+N75+O75</f>
        <v>15000</v>
      </c>
      <c r="L75" s="241"/>
      <c r="M75" s="241"/>
      <c r="N75" s="241"/>
      <c r="O75" s="241">
        <v>15000</v>
      </c>
      <c r="P75" s="44"/>
      <c r="R75" s="129">
        <f t="shared" si="17"/>
        <v>0</v>
      </c>
      <c r="S75" s="129">
        <f t="shared" si="17"/>
        <v>0</v>
      </c>
      <c r="T75" s="129">
        <f t="shared" si="17"/>
        <v>0</v>
      </c>
      <c r="U75" s="129">
        <f t="shared" si="17"/>
        <v>15000</v>
      </c>
      <c r="X75" s="130">
        <f t="shared" si="4"/>
        <v>-100079.99999999999</v>
      </c>
    </row>
    <row r="76" spans="1:24" s="30" customFormat="1" ht="18.75">
      <c r="A76" s="33" t="s">
        <v>144</v>
      </c>
      <c r="B76" s="34"/>
      <c r="C76" s="34"/>
      <c r="D76" s="34"/>
      <c r="E76" s="34"/>
      <c r="F76" s="34"/>
      <c r="G76" s="34"/>
      <c r="H76" s="34"/>
      <c r="I76" s="35"/>
      <c r="J76" s="44"/>
      <c r="K76" s="79"/>
      <c r="L76" s="44"/>
      <c r="M76" s="44"/>
      <c r="N76" s="44"/>
      <c r="O76" s="44"/>
      <c r="P76" s="44"/>
      <c r="R76" s="129">
        <f t="shared" si="17"/>
        <v>0</v>
      </c>
      <c r="S76" s="129">
        <f t="shared" si="17"/>
        <v>0</v>
      </c>
      <c r="T76" s="129">
        <f t="shared" si="17"/>
        <v>0</v>
      </c>
      <c r="U76" s="129">
        <f t="shared" si="17"/>
        <v>0</v>
      </c>
      <c r="X76" s="130">
        <f t="shared" si="4"/>
        <v>0</v>
      </c>
    </row>
    <row r="77" spans="1:24" s="30" customFormat="1" ht="19.5" customHeight="1">
      <c r="A77" s="23" t="s">
        <v>145</v>
      </c>
      <c r="B77" s="14">
        <v>310</v>
      </c>
      <c r="C77" s="25">
        <f>'Звіт 2019'!G72</f>
        <v>-2948.2017899999996</v>
      </c>
      <c r="D77" s="107">
        <f>D42+D45+D46+D51+D54+D55+D56+D57</f>
        <v>-4173.34752</v>
      </c>
      <c r="E77" s="106">
        <f aca="true" t="shared" si="18" ref="E77:E82">SUM(F77:I77)</f>
        <v>-7012.065070550201</v>
      </c>
      <c r="F77" s="107">
        <f>F42+F45+F46+F51+F54+F55+F56+F57</f>
        <v>-3564.57179</v>
      </c>
      <c r="G77" s="107">
        <f>G42+G45+G46+G51+G54+G55+G56+G57</f>
        <v>-4173.34752</v>
      </c>
      <c r="H77" s="343">
        <f aca="true" t="shared" si="19" ref="H77:H82">F77-G77</f>
        <v>608.7757300000003</v>
      </c>
      <c r="I77" s="107">
        <f>G77/F77*100</f>
        <v>117.07850944979847</v>
      </c>
      <c r="J77" s="44"/>
      <c r="K77" s="79"/>
      <c r="L77" s="125" t="s">
        <v>313</v>
      </c>
      <c r="M77" s="44"/>
      <c r="N77" s="44"/>
      <c r="O77" s="44"/>
      <c r="P77" s="44"/>
      <c r="R77" s="123">
        <f>R42+R45+R46+R51+R54+R55+R56+R57</f>
        <v>861900</v>
      </c>
      <c r="S77" s="123">
        <f>S42+S45+S46+S51+S54+S55+S56+S57</f>
        <v>926225</v>
      </c>
      <c r="T77" s="123">
        <f>T42+T45+T46+T51+T54+T55+T56+T57</f>
        <v>709596.79</v>
      </c>
      <c r="U77" s="123">
        <f>U42+U45+U46+U51+U54+U55+U56+U57</f>
        <v>1066850</v>
      </c>
      <c r="X77" s="130">
        <f t="shared" si="4"/>
        <v>7012065.070550201</v>
      </c>
    </row>
    <row r="78" spans="1:24" s="30" customFormat="1" ht="18.75">
      <c r="A78" s="23" t="s">
        <v>127</v>
      </c>
      <c r="B78" s="14">
        <v>320</v>
      </c>
      <c r="C78" s="107">
        <f>C52+C64</f>
        <v>-24114.526690000002</v>
      </c>
      <c r="D78" s="107">
        <f>D52+D64</f>
        <v>-26305.056220000002</v>
      </c>
      <c r="E78" s="106">
        <f t="shared" si="18"/>
        <v>-50814.35175103035</v>
      </c>
      <c r="F78" s="107">
        <f>F52+F64</f>
        <v>-25458.83781</v>
      </c>
      <c r="G78" s="107">
        <f>G52+G64</f>
        <v>-26305.056220000002</v>
      </c>
      <c r="H78" s="343">
        <f t="shared" si="19"/>
        <v>846.2184100000013</v>
      </c>
      <c r="I78" s="107">
        <f>G78/F78*100</f>
        <v>103.32386896964955</v>
      </c>
      <c r="J78" s="44"/>
      <c r="L78" s="124" t="s">
        <v>319</v>
      </c>
      <c r="P78" s="44"/>
      <c r="R78" s="126">
        <f aca="true" t="shared" si="20" ref="R78:U79">R52+R64</f>
        <v>6551266.48</v>
      </c>
      <c r="S78" s="126">
        <f t="shared" si="20"/>
        <v>6323156.420000001</v>
      </c>
      <c r="T78" s="126">
        <f t="shared" si="20"/>
        <v>6291925.260000001</v>
      </c>
      <c r="U78" s="126">
        <f t="shared" si="20"/>
        <v>6292489.65</v>
      </c>
      <c r="X78" s="130">
        <f t="shared" si="4"/>
        <v>50814351.75103035</v>
      </c>
    </row>
    <row r="79" spans="1:24" s="30" customFormat="1" ht="18.75">
      <c r="A79" s="23" t="s">
        <v>128</v>
      </c>
      <c r="B79" s="14">
        <v>330</v>
      </c>
      <c r="C79" s="107">
        <f>C53+C65</f>
        <v>-5307.71875</v>
      </c>
      <c r="D79" s="107">
        <f>D53+D65</f>
        <v>-5783.91365</v>
      </c>
      <c r="E79" s="106">
        <f t="shared" si="18"/>
        <v>-11021.108352378336</v>
      </c>
      <c r="F79" s="107">
        <f>F53+F65</f>
        <v>-5562.544</v>
      </c>
      <c r="G79" s="107">
        <f>G53+G65</f>
        <v>-5783.91365</v>
      </c>
      <c r="H79" s="343">
        <f t="shared" si="19"/>
        <v>221.36965000000055</v>
      </c>
      <c r="I79" s="107">
        <f>G79/F79*100</f>
        <v>103.97964762166376</v>
      </c>
      <c r="J79" s="44"/>
      <c r="K79" s="79"/>
      <c r="L79" s="124" t="s">
        <v>320</v>
      </c>
      <c r="M79" s="44"/>
      <c r="N79" s="44"/>
      <c r="O79" s="44"/>
      <c r="P79" s="44"/>
      <c r="R79" s="126">
        <f t="shared" si="20"/>
        <v>1431678.7000000002</v>
      </c>
      <c r="S79" s="126">
        <f t="shared" si="20"/>
        <v>1381494.76</v>
      </c>
      <c r="T79" s="126">
        <f t="shared" si="20"/>
        <v>1374623.56</v>
      </c>
      <c r="U79" s="126">
        <f t="shared" si="20"/>
        <v>1374746.9800000002</v>
      </c>
      <c r="X79" s="130">
        <f t="shared" si="4"/>
        <v>11021108.352378337</v>
      </c>
    </row>
    <row r="80" spans="1:24" s="30" customFormat="1" ht="18.75">
      <c r="A80" s="23" t="s">
        <v>132</v>
      </c>
      <c r="B80" s="14">
        <v>340</v>
      </c>
      <c r="C80" s="107">
        <f>C58+C70</f>
        <v>0</v>
      </c>
      <c r="D80" s="107">
        <f>D58+D70</f>
        <v>0</v>
      </c>
      <c r="E80" s="106">
        <f t="shared" si="18"/>
        <v>0</v>
      </c>
      <c r="F80" s="107">
        <f>F58+F70</f>
        <v>0</v>
      </c>
      <c r="G80" s="107">
        <f>G58+G70</f>
        <v>0</v>
      </c>
      <c r="H80" s="107">
        <f t="shared" si="19"/>
        <v>0</v>
      </c>
      <c r="I80" s="107">
        <v>0</v>
      </c>
      <c r="J80" s="44"/>
      <c r="K80" s="79"/>
      <c r="L80" s="124" t="s">
        <v>321</v>
      </c>
      <c r="M80" s="44"/>
      <c r="N80" s="44"/>
      <c r="O80" s="44"/>
      <c r="P80" s="44"/>
      <c r="R80" s="127">
        <f>R58+R70</f>
        <v>0</v>
      </c>
      <c r="S80" s="127">
        <f>S58+S70</f>
        <v>0</v>
      </c>
      <c r="T80" s="127">
        <f>T58+T70</f>
        <v>0</v>
      </c>
      <c r="U80" s="127">
        <f>U58+U70</f>
        <v>0</v>
      </c>
      <c r="X80" s="130">
        <f t="shared" si="4"/>
        <v>0</v>
      </c>
    </row>
    <row r="81" spans="1:24" s="30" customFormat="1" ht="18" customHeight="1">
      <c r="A81" s="23" t="s">
        <v>146</v>
      </c>
      <c r="B81" s="14">
        <v>350</v>
      </c>
      <c r="C81" s="107">
        <f>C59+C61+C62+C63+C66+C67+C68+C69+C71+C75</f>
        <v>-394.23812999999996</v>
      </c>
      <c r="D81" s="107">
        <f>D59+D61+D62+D63+D66+D67+D68+D69+D71+D75</f>
        <v>-445.90878000000004</v>
      </c>
      <c r="E81" s="106">
        <f t="shared" si="18"/>
        <v>-909.728972972973</v>
      </c>
      <c r="F81" s="107">
        <f>F59+F61+F62+F63+F66+F67+F68+F69+F71+F75</f>
        <v>-499.5</v>
      </c>
      <c r="G81" s="107">
        <f>G59+G61+G62+G63+G66+G67+G68+G69+G71+G75</f>
        <v>-445.90878000000004</v>
      </c>
      <c r="H81" s="343">
        <f t="shared" si="19"/>
        <v>-53.591219999999964</v>
      </c>
      <c r="I81" s="107">
        <f>G81/F81*100</f>
        <v>89.27102702702705</v>
      </c>
      <c r="J81" s="44"/>
      <c r="K81" s="79"/>
      <c r="L81" s="124" t="s">
        <v>322</v>
      </c>
      <c r="M81" s="44"/>
      <c r="N81" s="44"/>
      <c r="O81" s="44"/>
      <c r="P81" s="44"/>
      <c r="R81" s="126">
        <f>R59+R61+R62+R63+R66+R67+R68+R69+R71+R75</f>
        <v>179600</v>
      </c>
      <c r="S81" s="126">
        <f>S59+S61+S62+S63+S66+S67+S68+S69+S71+S75</f>
        <v>112900</v>
      </c>
      <c r="T81" s="126">
        <f>T59+T61+T62+T63+T66+T67+T68+T69+T71+T75</f>
        <v>74400</v>
      </c>
      <c r="U81" s="126">
        <f>U59+U61+U62+U63+U66+U67+U68+U69+U71+U75</f>
        <v>132600</v>
      </c>
      <c r="X81" s="130">
        <f t="shared" si="4"/>
        <v>909728.972972973</v>
      </c>
    </row>
    <row r="82" spans="1:24" s="30" customFormat="1" ht="18.75">
      <c r="A82" s="23" t="s">
        <v>147</v>
      </c>
      <c r="B82" s="14">
        <v>360</v>
      </c>
      <c r="C82" s="107">
        <f>SUM(C77:C81)</f>
        <v>-32764.685360000003</v>
      </c>
      <c r="D82" s="107">
        <f>SUM(D77:D81)</f>
        <v>-36708.22617</v>
      </c>
      <c r="E82" s="108">
        <f t="shared" si="18"/>
        <v>-70066.28199951521</v>
      </c>
      <c r="F82" s="107">
        <f>SUM(F77:F81)</f>
        <v>-35085.4536</v>
      </c>
      <c r="G82" s="107">
        <f>SUM(G77:G81)</f>
        <v>-36708.22617</v>
      </c>
      <c r="H82" s="343">
        <f t="shared" si="19"/>
        <v>1622.772570000001</v>
      </c>
      <c r="I82" s="107">
        <f>G82/F82*100</f>
        <v>104.62520048479578</v>
      </c>
      <c r="J82" s="44"/>
      <c r="K82" s="121">
        <f>SUM(K43:K77)</f>
        <v>35085453.6</v>
      </c>
      <c r="L82" s="121">
        <f>SUM(L43:L77)</f>
        <v>9024445.18</v>
      </c>
      <c r="M82" s="121">
        <f>SUM(M43:M77)</f>
        <v>8743776.18</v>
      </c>
      <c r="N82" s="121">
        <f>SUM(N43:N77)</f>
        <v>8450545.61</v>
      </c>
      <c r="O82" s="121">
        <f>SUM(O43:O77)</f>
        <v>8866686.63</v>
      </c>
      <c r="P82" s="44"/>
      <c r="R82" s="123">
        <f>SUM(R77:R81)</f>
        <v>9024445.18</v>
      </c>
      <c r="S82" s="123">
        <f>SUM(S77:S81)</f>
        <v>8743776.180000002</v>
      </c>
      <c r="T82" s="123">
        <f>SUM(T77:T81)</f>
        <v>8450545.610000001</v>
      </c>
      <c r="U82" s="123">
        <f>SUM(U77:U81)</f>
        <v>8866686.63</v>
      </c>
      <c r="X82" s="130">
        <f t="shared" si="4"/>
        <v>70066281.9995152</v>
      </c>
    </row>
    <row r="83" spans="1:16" s="30" customFormat="1" ht="18.75">
      <c r="A83" s="33" t="s">
        <v>148</v>
      </c>
      <c r="B83" s="34"/>
      <c r="C83" s="34"/>
      <c r="D83" s="112"/>
      <c r="E83" s="112"/>
      <c r="F83" s="112"/>
      <c r="G83" s="112"/>
      <c r="H83" s="112"/>
      <c r="I83" s="113"/>
      <c r="J83" s="44"/>
      <c r="K83" s="79"/>
      <c r="L83" s="44"/>
      <c r="M83" s="44"/>
      <c r="N83" s="44"/>
      <c r="O83" s="44"/>
      <c r="P83" s="44"/>
    </row>
    <row r="84" spans="1:16" s="30" customFormat="1" ht="18.75">
      <c r="A84" s="23" t="s">
        <v>149</v>
      </c>
      <c r="B84" s="14">
        <v>370</v>
      </c>
      <c r="C84" s="110">
        <f>SUM(C85)</f>
        <v>-363.3</v>
      </c>
      <c r="D84" s="110">
        <f>SUM(D85)</f>
        <v>-719.29173</v>
      </c>
      <c r="E84" s="108">
        <f>SUM(F84:I84)</f>
        <v>-1084.5163239202657</v>
      </c>
      <c r="F84" s="110">
        <f>SUM(F85)</f>
        <v>-602</v>
      </c>
      <c r="G84" s="110">
        <f>SUM(G85)</f>
        <v>-719.29173</v>
      </c>
      <c r="H84" s="345">
        <f>F84-G84</f>
        <v>117.29173000000003</v>
      </c>
      <c r="I84" s="110">
        <f>G84/F84*100</f>
        <v>119.48367607973422</v>
      </c>
      <c r="J84" s="44"/>
      <c r="K84" s="79"/>
      <c r="L84" s="44"/>
      <c r="M84" s="44"/>
      <c r="N84" s="44"/>
      <c r="O84" s="44"/>
      <c r="P84" s="44"/>
    </row>
    <row r="85" spans="1:16" s="30" customFormat="1" ht="56.25">
      <c r="A85" s="23" t="s">
        <v>308</v>
      </c>
      <c r="B85" s="32">
        <v>371</v>
      </c>
      <c r="C85" s="320">
        <f>'Звіт 2019'!G80</f>
        <v>-363.3</v>
      </c>
      <c r="D85" s="107">
        <f>G85</f>
        <v>-719.29173</v>
      </c>
      <c r="E85" s="106">
        <f>SUM(F85:I85)</f>
        <v>-1084.5163239202657</v>
      </c>
      <c r="F85" s="107">
        <f>'Фін.план 2020 (зміни 1)'!F85</f>
        <v>-602</v>
      </c>
      <c r="G85" s="107">
        <f>-719291.73/1000</f>
        <v>-719.29173</v>
      </c>
      <c r="H85" s="343">
        <f>F85-G85</f>
        <v>117.29173000000003</v>
      </c>
      <c r="I85" s="107">
        <f>G85/F85*100</f>
        <v>119.48367607973422</v>
      </c>
      <c r="J85" s="82"/>
      <c r="K85" s="81">
        <f>L85+M85+N85+O85</f>
        <v>602000</v>
      </c>
      <c r="L85" s="241">
        <f>15223.17+5664.64</f>
        <v>20887.81</v>
      </c>
      <c r="M85" s="241">
        <f>100000+100000</f>
        <v>200000</v>
      </c>
      <c r="N85" s="241">
        <f>100000+100000</f>
        <v>200000</v>
      </c>
      <c r="O85" s="241">
        <f>179112.19+2000</f>
        <v>181112.19</v>
      </c>
      <c r="P85" s="44"/>
    </row>
    <row r="86" spans="1:16" s="30" customFormat="1" ht="18.75">
      <c r="A86" s="21" t="s">
        <v>150</v>
      </c>
      <c r="B86" s="36">
        <v>380</v>
      </c>
      <c r="C86" s="335">
        <f>SUM(C87:C92)</f>
        <v>-510.378</v>
      </c>
      <c r="D86" s="108">
        <f>SUM(D87:D92)</f>
        <v>-1039</v>
      </c>
      <c r="E86" s="108">
        <f aca="true" t="shared" si="21" ref="E86:E92">SUM(F86:I86)</f>
        <v>-2581.8796992481202</v>
      </c>
      <c r="F86" s="108">
        <f>SUM(F87:F92)</f>
        <v>-1330</v>
      </c>
      <c r="G86" s="108">
        <f>SUM(G87:G92)</f>
        <v>-1039</v>
      </c>
      <c r="H86" s="345">
        <f>SUM(H87:H92)</f>
        <v>-291</v>
      </c>
      <c r="I86" s="346">
        <f>SUM(I87:I92)</f>
        <v>78.1203007518797</v>
      </c>
      <c r="J86" s="44"/>
      <c r="K86" s="87"/>
      <c r="L86" s="80"/>
      <c r="M86" s="80"/>
      <c r="N86" s="80"/>
      <c r="O86" s="80"/>
      <c r="P86" s="44"/>
    </row>
    <row r="87" spans="1:16" s="30" customFormat="1" ht="18.75">
      <c r="A87" s="23" t="s">
        <v>151</v>
      </c>
      <c r="B87" s="38">
        <v>381</v>
      </c>
      <c r="C87" s="320">
        <f>'Звіт 2019'!G82</f>
        <v>0</v>
      </c>
      <c r="D87" s="107">
        <f>'Фін.план 2020 (зміни 1)'!F87</f>
        <v>0</v>
      </c>
      <c r="E87" s="107">
        <f t="shared" si="21"/>
        <v>0</v>
      </c>
      <c r="F87" s="107">
        <f>'Фін.план 2020 (зміни 1)'!F87</f>
        <v>0</v>
      </c>
      <c r="G87" s="107"/>
      <c r="H87" s="107"/>
      <c r="I87" s="107"/>
      <c r="J87" s="44"/>
      <c r="K87" s="87"/>
      <c r="L87" s="80"/>
      <c r="M87" s="80"/>
      <c r="N87" s="80"/>
      <c r="O87" s="80"/>
      <c r="P87" s="44"/>
    </row>
    <row r="88" spans="1:16" s="30" customFormat="1" ht="18.75">
      <c r="A88" s="23" t="s">
        <v>152</v>
      </c>
      <c r="B88" s="39">
        <v>382</v>
      </c>
      <c r="C88" s="320">
        <f>'Звіт 2019'!G83</f>
        <v>-150.394</v>
      </c>
      <c r="D88" s="107">
        <f>G88</f>
        <v>-1039</v>
      </c>
      <c r="E88" s="107">
        <f t="shared" si="21"/>
        <v>-2581.8796992481202</v>
      </c>
      <c r="F88" s="107">
        <f>'Фін.план 2020 (зміни 1)'!F88</f>
        <v>-1330</v>
      </c>
      <c r="G88" s="107">
        <f>-1039000/1000</f>
        <v>-1039</v>
      </c>
      <c r="H88" s="343">
        <f>F88-G88</f>
        <v>-291</v>
      </c>
      <c r="I88" s="107">
        <f>G88/F88*100</f>
        <v>78.1203007518797</v>
      </c>
      <c r="J88" s="44"/>
      <c r="K88" s="81">
        <f>L88+M88+N88+O88</f>
        <v>1330000</v>
      </c>
      <c r="L88" s="241">
        <f>108000+1000000</f>
        <v>1108000</v>
      </c>
      <c r="M88" s="241">
        <v>22000</v>
      </c>
      <c r="N88" s="241">
        <v>200000</v>
      </c>
      <c r="O88" s="241"/>
      <c r="P88" s="44"/>
    </row>
    <row r="89" spans="1:16" s="30" customFormat="1" ht="35.25" customHeight="1">
      <c r="A89" s="23" t="s">
        <v>153</v>
      </c>
      <c r="B89" s="38">
        <v>383</v>
      </c>
      <c r="C89" s="320">
        <f>'Звіт 2019'!G84</f>
        <v>0</v>
      </c>
      <c r="D89" s="107">
        <f>'Фін.план 2020 (зміни 1)'!F89</f>
        <v>0</v>
      </c>
      <c r="E89" s="107">
        <f t="shared" si="21"/>
        <v>0</v>
      </c>
      <c r="F89" s="107">
        <f>'Фін.план 2020 (зміни 1)'!F89</f>
        <v>0</v>
      </c>
      <c r="G89" s="107"/>
      <c r="H89" s="107"/>
      <c r="I89" s="107"/>
      <c r="J89" s="44"/>
      <c r="K89" s="87"/>
      <c r="L89" s="80"/>
      <c r="M89" s="80"/>
      <c r="N89" s="80"/>
      <c r="O89" s="80"/>
      <c r="P89" s="44"/>
    </row>
    <row r="90" spans="1:16" s="30" customFormat="1" ht="18.75">
      <c r="A90" s="23" t="s">
        <v>154</v>
      </c>
      <c r="B90" s="39">
        <v>384</v>
      </c>
      <c r="C90" s="320">
        <f>'Звіт 2019'!G85</f>
        <v>0</v>
      </c>
      <c r="D90" s="107">
        <f>'Фін.план 2020 (зміни 1)'!F90</f>
        <v>0</v>
      </c>
      <c r="E90" s="107">
        <f t="shared" si="21"/>
        <v>0</v>
      </c>
      <c r="F90" s="107">
        <f>'Фін.план 2020 (зміни 1)'!F90</f>
        <v>0</v>
      </c>
      <c r="G90" s="107"/>
      <c r="H90" s="107"/>
      <c r="I90" s="107"/>
      <c r="J90" s="44"/>
      <c r="K90" s="87"/>
      <c r="L90" s="80"/>
      <c r="M90" s="80"/>
      <c r="N90" s="80"/>
      <c r="O90" s="80"/>
      <c r="P90" s="44"/>
    </row>
    <row r="91" spans="1:16" s="30" customFormat="1" ht="36.75" customHeight="1">
      <c r="A91" s="23" t="s">
        <v>155</v>
      </c>
      <c r="B91" s="39">
        <v>385</v>
      </c>
      <c r="C91" s="320">
        <f>'Звіт 2019'!G86</f>
        <v>0</v>
      </c>
      <c r="D91" s="107">
        <f>'Фін.план 2020 (зміни 1)'!F91</f>
        <v>0</v>
      </c>
      <c r="E91" s="107">
        <f t="shared" si="21"/>
        <v>0</v>
      </c>
      <c r="F91" s="107">
        <f>'Фін.план 2020 (зміни 1)'!F91</f>
        <v>0</v>
      </c>
      <c r="G91" s="107"/>
      <c r="H91" s="107"/>
      <c r="I91" s="107"/>
      <c r="J91" s="44"/>
      <c r="K91" s="87"/>
      <c r="L91" s="80"/>
      <c r="M91" s="80"/>
      <c r="N91" s="80"/>
      <c r="O91" s="80"/>
      <c r="P91" s="44"/>
    </row>
    <row r="92" spans="1:17" s="30" customFormat="1" ht="18" customHeight="1">
      <c r="A92" s="23" t="s">
        <v>156</v>
      </c>
      <c r="B92" s="38">
        <v>386</v>
      </c>
      <c r="C92" s="320">
        <f>'Звіт 2019'!G87</f>
        <v>-359.984</v>
      </c>
      <c r="D92" s="107">
        <f>'Фін.план 2020 (зміни 1)'!F92</f>
        <v>0</v>
      </c>
      <c r="E92" s="107">
        <f t="shared" si="21"/>
        <v>0</v>
      </c>
      <c r="F92" s="107">
        <f>'Фін.план 2020 (зміни 1)'!F92</f>
        <v>0</v>
      </c>
      <c r="G92" s="107">
        <v>0</v>
      </c>
      <c r="H92" s="107">
        <v>0</v>
      </c>
      <c r="I92" s="107">
        <v>0</v>
      </c>
      <c r="J92" s="44" t="s">
        <v>352</v>
      </c>
      <c r="K92" s="87">
        <f>L92+M92+N92+O92</f>
        <v>0</v>
      </c>
      <c r="L92" s="80"/>
      <c r="M92" s="94"/>
      <c r="N92" s="80"/>
      <c r="O92" s="80"/>
      <c r="P92" s="10"/>
      <c r="Q92" s="10"/>
    </row>
    <row r="93" spans="1:17" s="30" customFormat="1" ht="18.75">
      <c r="A93" s="33" t="s">
        <v>157</v>
      </c>
      <c r="B93" s="34"/>
      <c r="C93" s="34"/>
      <c r="D93" s="34"/>
      <c r="E93" s="34"/>
      <c r="F93" s="34"/>
      <c r="G93" s="34"/>
      <c r="H93" s="34"/>
      <c r="I93" s="35"/>
      <c r="J93" s="44" t="s">
        <v>310</v>
      </c>
      <c r="K93" s="91">
        <f>SUM(K43:K92)-K82</f>
        <v>37017453.6</v>
      </c>
      <c r="L93" s="90">
        <f>SUM(L43:L92)-L82</f>
        <v>10153332.989999998</v>
      </c>
      <c r="M93" s="90">
        <f>SUM(M43:M92)-M82</f>
        <v>8965776.18</v>
      </c>
      <c r="N93" s="90">
        <f>SUM(N43:N92)-N82</f>
        <v>8850545.61</v>
      </c>
      <c r="O93" s="90">
        <f>SUM(O43:O92)-O82</f>
        <v>9047798.820000002</v>
      </c>
      <c r="P93" s="10"/>
      <c r="Q93" s="10"/>
    </row>
    <row r="94" spans="1:17" s="30" customFormat="1" ht="18.75">
      <c r="A94" s="23" t="s">
        <v>158</v>
      </c>
      <c r="B94" s="40">
        <v>390</v>
      </c>
      <c r="C94" s="356">
        <f>SUM(C95:C98)</f>
        <v>384.1741999999999</v>
      </c>
      <c r="D94" s="110">
        <f>SUM(D95:D98)</f>
        <v>183.84649000000002</v>
      </c>
      <c r="E94" s="110">
        <f aca="true" t="shared" si="22" ref="E94:E103">SUM(F94:I94)</f>
        <v>473.042599080504</v>
      </c>
      <c r="F94" s="110">
        <f>SUM(F95:F98)</f>
        <v>187.494</v>
      </c>
      <c r="G94" s="110">
        <f>SUM(G95:G98)</f>
        <v>183.84649000000002</v>
      </c>
      <c r="H94" s="344">
        <f>F94-G94</f>
        <v>3.6475099999999827</v>
      </c>
      <c r="I94" s="110">
        <f>G94/F94*100</f>
        <v>98.05459908050392</v>
      </c>
      <c r="J94" s="44" t="s">
        <v>311</v>
      </c>
      <c r="K94" s="91">
        <f>L94+M94+N94+O94</f>
        <v>35688381.81</v>
      </c>
      <c r="L94" s="91">
        <f>8406951.18+20887.81+172494+3000+L40</f>
        <v>9153332.99</v>
      </c>
      <c r="M94" s="91">
        <f>8406951.18+4000+M40</f>
        <v>8781951.18</v>
      </c>
      <c r="N94" s="91">
        <f>8418048.82+4000+N40</f>
        <v>8627048.82</v>
      </c>
      <c r="O94" s="91">
        <f>8418048.82+4000+O40</f>
        <v>9126048.82</v>
      </c>
      <c r="P94" s="89"/>
      <c r="Q94" s="10"/>
    </row>
    <row r="95" spans="1:17" s="30" customFormat="1" ht="18.75">
      <c r="A95" s="26" t="s">
        <v>307</v>
      </c>
      <c r="B95" s="41">
        <v>391</v>
      </c>
      <c r="C95" s="320">
        <f>'Звіт 2019'!G90</f>
        <v>3.3655999999999997</v>
      </c>
      <c r="D95" s="107">
        <f>G95</f>
        <v>0</v>
      </c>
      <c r="E95" s="107">
        <f t="shared" si="22"/>
        <v>0</v>
      </c>
      <c r="F95" s="107">
        <f>'Фін.план 2020 (зміни 1)'!F95</f>
        <v>0</v>
      </c>
      <c r="G95" s="107"/>
      <c r="H95" s="107"/>
      <c r="I95" s="107"/>
      <c r="J95" s="44" t="s">
        <v>312</v>
      </c>
      <c r="K95" s="91">
        <f>K94-K93</f>
        <v>-1329071.789999999</v>
      </c>
      <c r="L95" s="93">
        <f>L94-L93</f>
        <v>-999999.9999999981</v>
      </c>
      <c r="M95" s="92">
        <f>M94-M93</f>
        <v>-183825</v>
      </c>
      <c r="N95" s="93">
        <f>N94-N93</f>
        <v>-223496.7899999991</v>
      </c>
      <c r="O95" s="92">
        <f>O94-O93</f>
        <v>78249.99999999814</v>
      </c>
      <c r="P95" s="89"/>
      <c r="Q95" s="10"/>
    </row>
    <row r="96" spans="1:17" s="30" customFormat="1" ht="18.75">
      <c r="A96" s="26" t="s">
        <v>353</v>
      </c>
      <c r="B96" s="41">
        <v>392</v>
      </c>
      <c r="C96" s="320">
        <f>'Звіт 2019'!G91</f>
        <v>331.234</v>
      </c>
      <c r="D96" s="107">
        <f>G96</f>
        <v>172.494</v>
      </c>
      <c r="E96" s="107">
        <f t="shared" si="22"/>
        <v>444.988</v>
      </c>
      <c r="F96" s="107">
        <f>'Фін.план 2020 (зміни 1)'!F96</f>
        <v>172.494</v>
      </c>
      <c r="G96" s="107">
        <f>172494/1000</f>
        <v>172.494</v>
      </c>
      <c r="H96" s="321">
        <f>F96-G96</f>
        <v>0</v>
      </c>
      <c r="I96" s="107">
        <f>G96/F96*100</f>
        <v>100</v>
      </c>
      <c r="J96" s="82"/>
      <c r="K96" s="81">
        <f>L96+M96+N96+O96</f>
        <v>172494</v>
      </c>
      <c r="L96" s="241">
        <v>172494</v>
      </c>
      <c r="M96" s="241"/>
      <c r="N96" s="241"/>
      <c r="O96" s="241"/>
      <c r="P96" s="89"/>
      <c r="Q96" s="10"/>
    </row>
    <row r="97" spans="1:17" s="30" customFormat="1" ht="18.75">
      <c r="A97" s="26" t="s">
        <v>161</v>
      </c>
      <c r="B97" s="41">
        <v>393</v>
      </c>
      <c r="C97" s="320">
        <f>'Звіт 2019'!G92</f>
        <v>10.647029999999999</v>
      </c>
      <c r="D97" s="107">
        <f>G97</f>
        <v>10.95249</v>
      </c>
      <c r="E97" s="107">
        <f t="shared" si="22"/>
        <v>103.0166</v>
      </c>
      <c r="F97" s="107">
        <f>'Фін.план 2020 (зміни 1)'!F97</f>
        <v>15</v>
      </c>
      <c r="G97" s="107">
        <f>10952.49/1000</f>
        <v>10.95249</v>
      </c>
      <c r="H97" s="321">
        <f>F97-G97</f>
        <v>4.047510000000001</v>
      </c>
      <c r="I97" s="107">
        <f>G97/F97*100</f>
        <v>73.0166</v>
      </c>
      <c r="J97" s="82"/>
      <c r="K97" s="81">
        <f>L97+M97+N97+O97</f>
        <v>15000</v>
      </c>
      <c r="L97" s="241">
        <v>3000</v>
      </c>
      <c r="M97" s="241">
        <v>4000</v>
      </c>
      <c r="N97" s="241">
        <v>4000</v>
      </c>
      <c r="O97" s="241">
        <v>4000</v>
      </c>
      <c r="P97" s="89"/>
      <c r="Q97" s="10"/>
    </row>
    <row r="98" spans="1:17" s="30" customFormat="1" ht="18.75">
      <c r="A98" s="23" t="s">
        <v>964</v>
      </c>
      <c r="B98" s="40">
        <v>400</v>
      </c>
      <c r="C98" s="320">
        <f>'Звіт 2019'!G93</f>
        <v>38.92757</v>
      </c>
      <c r="D98" s="107">
        <f>G98</f>
        <v>0.4</v>
      </c>
      <c r="E98" s="107">
        <f t="shared" si="22"/>
        <v>0</v>
      </c>
      <c r="F98" s="107">
        <f>'Фін.план 2020 (зміни 1)'!F98</f>
        <v>0</v>
      </c>
      <c r="G98" s="107">
        <f>400/1000</f>
        <v>0.4</v>
      </c>
      <c r="H98" s="321">
        <f>F98-G98</f>
        <v>-0.4</v>
      </c>
      <c r="I98" s="107">
        <v>0</v>
      </c>
      <c r="J98" s="44"/>
      <c r="K98" s="88"/>
      <c r="L98" s="88"/>
      <c r="M98" s="88"/>
      <c r="N98" s="88"/>
      <c r="O98" s="88"/>
      <c r="P98" s="89"/>
      <c r="Q98" s="10"/>
    </row>
    <row r="99" spans="1:17" s="30" customFormat="1" ht="22.5" customHeight="1">
      <c r="A99" s="23" t="s">
        <v>162</v>
      </c>
      <c r="B99" s="40">
        <v>410</v>
      </c>
      <c r="C99" s="29">
        <f>SUM(C100:C103)</f>
        <v>0</v>
      </c>
      <c r="D99" s="109">
        <f>SUM(D100:D103)</f>
        <v>0</v>
      </c>
      <c r="E99" s="109">
        <f t="shared" si="22"/>
        <v>0</v>
      </c>
      <c r="F99" s="109">
        <f>SUM(F100:F103)</f>
        <v>0</v>
      </c>
      <c r="G99" s="109">
        <f>SUM(G100:G103)</f>
        <v>0</v>
      </c>
      <c r="H99" s="109">
        <f>SUM(H100:H103)</f>
        <v>0</v>
      </c>
      <c r="I99" s="109">
        <f>SUM(I100:I103)</f>
        <v>0</v>
      </c>
      <c r="J99" s="44"/>
      <c r="K99" s="171" t="s">
        <v>288</v>
      </c>
      <c r="L99" s="2" t="s">
        <v>289</v>
      </c>
      <c r="M99" s="2" t="s">
        <v>290</v>
      </c>
      <c r="N99" s="10"/>
      <c r="O99" s="10"/>
      <c r="P99" s="10"/>
      <c r="Q99" s="10"/>
    </row>
    <row r="100" spans="1:17" s="30" customFormat="1" ht="18.75">
      <c r="A100" s="26" t="s">
        <v>159</v>
      </c>
      <c r="B100" s="41">
        <v>411</v>
      </c>
      <c r="C100" s="25"/>
      <c r="D100" s="107"/>
      <c r="E100" s="107">
        <f t="shared" si="22"/>
        <v>0</v>
      </c>
      <c r="F100" s="107"/>
      <c r="G100" s="107"/>
      <c r="H100" s="107"/>
      <c r="I100" s="107"/>
      <c r="J100" s="44"/>
      <c r="K100" s="182">
        <v>1486391.61</v>
      </c>
      <c r="L100" s="83">
        <f>K100+D95-D101</f>
        <v>1486391.61</v>
      </c>
      <c r="M100" s="83">
        <f>L100+E95-E101</f>
        <v>1486391.61</v>
      </c>
      <c r="N100" s="10"/>
      <c r="O100" s="10"/>
      <c r="P100" s="10"/>
      <c r="Q100" s="10"/>
    </row>
    <row r="101" spans="1:17" s="30" customFormat="1" ht="18.75">
      <c r="A101" s="26" t="s">
        <v>160</v>
      </c>
      <c r="B101" s="41">
        <v>412</v>
      </c>
      <c r="C101" s="25"/>
      <c r="D101" s="107"/>
      <c r="E101" s="107">
        <f t="shared" si="22"/>
        <v>0</v>
      </c>
      <c r="F101" s="107"/>
      <c r="G101" s="107"/>
      <c r="H101" s="107"/>
      <c r="I101" s="107"/>
      <c r="J101" s="44"/>
      <c r="K101" s="89"/>
      <c r="L101" s="10"/>
      <c r="M101" s="10"/>
      <c r="N101" s="10"/>
      <c r="O101" s="10"/>
      <c r="P101" s="10"/>
      <c r="Q101" s="10"/>
    </row>
    <row r="102" spans="1:17" s="30" customFormat="1" ht="18.75">
      <c r="A102" s="26" t="s">
        <v>161</v>
      </c>
      <c r="B102" s="41">
        <v>413</v>
      </c>
      <c r="C102" s="25"/>
      <c r="D102" s="107"/>
      <c r="E102" s="107">
        <f t="shared" si="22"/>
        <v>0</v>
      </c>
      <c r="F102" s="107"/>
      <c r="G102" s="107"/>
      <c r="H102" s="107"/>
      <c r="I102" s="107"/>
      <c r="J102" s="44"/>
      <c r="K102" s="89" t="s">
        <v>435</v>
      </c>
      <c r="L102" s="10"/>
      <c r="M102" s="10"/>
      <c r="N102" s="10"/>
      <c r="O102" s="10"/>
      <c r="P102" s="10"/>
      <c r="Q102" s="10"/>
    </row>
    <row r="103" spans="1:17" s="30" customFormat="1" ht="18.75">
      <c r="A103" s="23" t="s">
        <v>133</v>
      </c>
      <c r="B103" s="40">
        <v>420</v>
      </c>
      <c r="C103" s="25"/>
      <c r="D103" s="107"/>
      <c r="E103" s="107">
        <f t="shared" si="22"/>
        <v>0</v>
      </c>
      <c r="F103" s="107"/>
      <c r="G103" s="107"/>
      <c r="H103" s="107"/>
      <c r="I103" s="107"/>
      <c r="J103" s="44"/>
      <c r="K103" s="89" t="s">
        <v>436</v>
      </c>
      <c r="L103" s="10"/>
      <c r="M103" s="10"/>
      <c r="N103" s="10"/>
      <c r="O103" s="10"/>
      <c r="P103" s="10"/>
      <c r="Q103" s="10"/>
    </row>
    <row r="104" spans="1:24" ht="18.75">
      <c r="A104" s="21" t="s">
        <v>163</v>
      </c>
      <c r="B104" s="42">
        <v>500</v>
      </c>
      <c r="C104" s="43">
        <f>'Звіт 2019'!G99</f>
        <v>33606.29736</v>
      </c>
      <c r="D104" s="114">
        <f>D35+D36+D37</f>
        <v>38447.0059</v>
      </c>
      <c r="E104" s="114">
        <f>SUM(F104:I104)</f>
        <v>74327.24253166043</v>
      </c>
      <c r="F104" s="114">
        <f>F35+F36+F37</f>
        <v>37017.4536</v>
      </c>
      <c r="G104" s="114">
        <f>G35+G36+G37</f>
        <v>38447.0059</v>
      </c>
      <c r="H104" s="114">
        <f>H35+H36+H37</f>
        <v>-1429.5522999999878</v>
      </c>
      <c r="I104" s="114">
        <f>I35+I36+I37</f>
        <v>292.3353316604167</v>
      </c>
      <c r="J104" s="44"/>
      <c r="K104" s="89" t="s">
        <v>437</v>
      </c>
      <c r="L104" s="10"/>
      <c r="M104" s="10"/>
      <c r="N104" s="10"/>
      <c r="O104" s="10"/>
      <c r="P104" s="10"/>
      <c r="Q104" s="10"/>
      <c r="R104" s="30"/>
      <c r="S104" s="30"/>
      <c r="T104" s="30"/>
      <c r="U104" s="30"/>
      <c r="V104" s="30"/>
      <c r="W104" s="30"/>
      <c r="X104" s="30"/>
    </row>
    <row r="105" spans="1:24" ht="18.75">
      <c r="A105" s="21" t="s">
        <v>164</v>
      </c>
      <c r="B105" s="42">
        <v>600</v>
      </c>
      <c r="C105" s="43">
        <f>'Звіт 2019'!G100</f>
        <v>-33585.42316</v>
      </c>
      <c r="D105" s="114">
        <f>D82+D86</f>
        <v>-37747.22617</v>
      </c>
      <c r="E105" s="114">
        <f>SUM(F105:I105)</f>
        <v>-72648.16169876333</v>
      </c>
      <c r="F105" s="114">
        <f>F82+F86</f>
        <v>-36415.4536</v>
      </c>
      <c r="G105" s="114">
        <f>G82+G86</f>
        <v>-37747.22617</v>
      </c>
      <c r="H105" s="114">
        <f>H82+H86</f>
        <v>1331.772570000001</v>
      </c>
      <c r="I105" s="114">
        <f>I82+I86</f>
        <v>182.74550123667547</v>
      </c>
      <c r="J105" s="44"/>
      <c r="K105" s="89" t="s">
        <v>438</v>
      </c>
      <c r="L105" s="10"/>
      <c r="M105" s="10"/>
      <c r="N105" s="10"/>
      <c r="O105" s="10"/>
      <c r="P105" s="10"/>
      <c r="Q105" s="10"/>
      <c r="R105" s="30"/>
      <c r="S105" s="30"/>
      <c r="T105" s="30"/>
      <c r="U105" s="30"/>
      <c r="V105" s="30"/>
      <c r="W105" s="30"/>
      <c r="X105" s="30"/>
    </row>
    <row r="106" spans="1:24" ht="18.75">
      <c r="A106" s="23" t="s">
        <v>165</v>
      </c>
      <c r="B106" s="24">
        <v>650</v>
      </c>
      <c r="C106" s="107">
        <f>C104+C105</f>
        <v>20.874199999998382</v>
      </c>
      <c r="D106" s="107">
        <f>D104+D105</f>
        <v>699.7797299999947</v>
      </c>
      <c r="E106" s="106">
        <f>SUM(F106:I106)</f>
        <v>1679.0808328971002</v>
      </c>
      <c r="F106" s="107">
        <f>F104+F105</f>
        <v>602</v>
      </c>
      <c r="G106" s="107">
        <f>G104+G105</f>
        <v>699.7797299999947</v>
      </c>
      <c r="H106" s="107">
        <f>H104+H105</f>
        <v>-97.77972999998678</v>
      </c>
      <c r="I106" s="107">
        <f>I104+I105</f>
        <v>475.0808328970922</v>
      </c>
      <c r="J106" s="44"/>
      <c r="K106" s="89" t="s">
        <v>439</v>
      </c>
      <c r="L106" s="10"/>
      <c r="M106" s="10"/>
      <c r="N106" s="10"/>
      <c r="O106" s="10"/>
      <c r="P106" s="10"/>
      <c r="Q106" s="10"/>
      <c r="R106" s="30"/>
      <c r="S106" s="30"/>
      <c r="T106" s="30"/>
      <c r="U106" s="30"/>
      <c r="V106" s="30"/>
      <c r="W106" s="30"/>
      <c r="X106" s="30"/>
    </row>
    <row r="107" spans="1:22" ht="18.75">
      <c r="A107" s="430" t="s">
        <v>166</v>
      </c>
      <c r="B107" s="426"/>
      <c r="C107" s="34"/>
      <c r="D107" s="115" t="s">
        <v>167</v>
      </c>
      <c r="E107" s="115" t="s">
        <v>167</v>
      </c>
      <c r="F107" s="115" t="s">
        <v>167</v>
      </c>
      <c r="G107" s="115" t="s">
        <v>167</v>
      </c>
      <c r="H107" s="115" t="s">
        <v>167</v>
      </c>
      <c r="I107" s="115" t="s">
        <v>167</v>
      </c>
      <c r="J107" s="44"/>
      <c r="K107" s="183"/>
      <c r="L107" s="10"/>
      <c r="M107" s="10"/>
      <c r="N107" s="79" t="s">
        <v>306</v>
      </c>
      <c r="O107" s="10"/>
      <c r="P107" s="10"/>
      <c r="Q107" s="10"/>
      <c r="R107" s="30"/>
      <c r="S107" s="30"/>
      <c r="T107" s="30"/>
      <c r="U107" s="30"/>
      <c r="V107" s="30"/>
    </row>
    <row r="108" spans="1:22" ht="18.75">
      <c r="A108" s="23" t="s">
        <v>172</v>
      </c>
      <c r="B108" s="24">
        <v>700</v>
      </c>
      <c r="C108" s="25"/>
      <c r="D108" s="107">
        <v>227</v>
      </c>
      <c r="E108" s="107">
        <v>227</v>
      </c>
      <c r="F108" s="107">
        <v>227</v>
      </c>
      <c r="G108" s="107">
        <v>227</v>
      </c>
      <c r="H108" s="107">
        <v>227</v>
      </c>
      <c r="I108" s="107">
        <v>227</v>
      </c>
      <c r="J108" s="44"/>
      <c r="K108" s="79" t="s">
        <v>291</v>
      </c>
      <c r="L108" s="11" t="s">
        <v>304</v>
      </c>
      <c r="M108" s="11" t="s">
        <v>305</v>
      </c>
      <c r="N108" s="11" t="s">
        <v>304</v>
      </c>
      <c r="O108" s="11" t="s">
        <v>305</v>
      </c>
      <c r="P108" s="10"/>
      <c r="Q108" s="10"/>
      <c r="R108" s="30"/>
      <c r="S108" s="30"/>
      <c r="T108" s="30"/>
      <c r="U108" s="30"/>
      <c r="V108" s="30"/>
    </row>
    <row r="109" spans="1:17" ht="18.75">
      <c r="A109" s="23" t="s">
        <v>173</v>
      </c>
      <c r="B109" s="24">
        <v>710</v>
      </c>
      <c r="C109" s="25"/>
      <c r="D109" s="111"/>
      <c r="E109" s="111">
        <v>5451.57</v>
      </c>
      <c r="F109" s="111"/>
      <c r="G109" s="111"/>
      <c r="H109" s="111"/>
      <c r="I109" s="111">
        <f>H109</f>
        <v>0</v>
      </c>
      <c r="J109" s="44"/>
      <c r="K109" s="89" t="s">
        <v>292</v>
      </c>
      <c r="L109" s="84">
        <v>2802317.06</v>
      </c>
      <c r="M109" s="429">
        <f>SUM(L109:L111)</f>
        <v>8406951.18</v>
      </c>
      <c r="N109" s="84">
        <v>172494</v>
      </c>
      <c r="O109" s="429">
        <f>SUM(N109:N111)</f>
        <v>172494</v>
      </c>
      <c r="P109" s="86"/>
      <c r="Q109" s="10"/>
    </row>
    <row r="110" spans="1:17" ht="18.75">
      <c r="A110" s="23" t="s">
        <v>174</v>
      </c>
      <c r="B110" s="24">
        <v>720</v>
      </c>
      <c r="C110" s="25"/>
      <c r="D110" s="25"/>
      <c r="E110" s="111"/>
      <c r="F110" s="111"/>
      <c r="G110" s="111"/>
      <c r="H110" s="111">
        <v>0</v>
      </c>
      <c r="I110" s="111">
        <v>0</v>
      </c>
      <c r="J110" s="44"/>
      <c r="K110" s="89" t="s">
        <v>293</v>
      </c>
      <c r="L110" s="84">
        <v>2802317.06</v>
      </c>
      <c r="M110" s="429"/>
      <c r="N110" s="84"/>
      <c r="O110" s="429"/>
      <c r="P110" s="86"/>
      <c r="Q110" s="86"/>
    </row>
    <row r="111" spans="1:17" ht="18.75">
      <c r="A111" s="23" t="s">
        <v>175</v>
      </c>
      <c r="B111" s="24">
        <v>730</v>
      </c>
      <c r="C111" s="25"/>
      <c r="D111" s="25"/>
      <c r="E111" s="111"/>
      <c r="F111" s="111"/>
      <c r="G111" s="111"/>
      <c r="H111" s="111">
        <v>0</v>
      </c>
      <c r="I111" s="111">
        <v>0</v>
      </c>
      <c r="J111" s="44"/>
      <c r="K111" s="89" t="s">
        <v>294</v>
      </c>
      <c r="L111" s="84">
        <v>2802317.06</v>
      </c>
      <c r="M111" s="429"/>
      <c r="N111" s="84"/>
      <c r="O111" s="429"/>
      <c r="P111" s="86"/>
      <c r="Q111" s="86"/>
    </row>
    <row r="112" spans="1:17" ht="18.75">
      <c r="A112" s="15"/>
      <c r="B112" s="45"/>
      <c r="C112" s="46"/>
      <c r="D112" s="46"/>
      <c r="E112" s="116"/>
      <c r="F112" s="116"/>
      <c r="G112" s="116"/>
      <c r="H112" s="116"/>
      <c r="I112" s="116"/>
      <c r="J112" s="44"/>
      <c r="K112" s="89" t="s">
        <v>295</v>
      </c>
      <c r="L112" s="84">
        <v>2802317.06</v>
      </c>
      <c r="M112" s="429">
        <f>SUM(L112:L114)</f>
        <v>8406951.18</v>
      </c>
      <c r="N112" s="84"/>
      <c r="O112" s="429">
        <f>SUM(N112:N114)</f>
        <v>0</v>
      </c>
      <c r="P112" s="86"/>
      <c r="Q112" s="86"/>
    </row>
    <row r="113" spans="1:17" ht="18.75">
      <c r="A113" s="15"/>
      <c r="C113" s="47"/>
      <c r="D113" s="48"/>
      <c r="E113" s="117"/>
      <c r="F113" s="117"/>
      <c r="G113" s="117"/>
      <c r="H113" s="117"/>
      <c r="I113" s="117"/>
      <c r="J113" s="44"/>
      <c r="K113" s="89" t="s">
        <v>296</v>
      </c>
      <c r="L113" s="84">
        <v>2802317.06</v>
      </c>
      <c r="M113" s="429"/>
      <c r="N113" s="84"/>
      <c r="O113" s="429"/>
      <c r="P113" s="86"/>
      <c r="Q113" s="86"/>
    </row>
    <row r="114" spans="1:17" ht="18.75">
      <c r="A114" s="49" t="s">
        <v>445</v>
      </c>
      <c r="B114" s="45"/>
      <c r="C114" s="433" t="s">
        <v>176</v>
      </c>
      <c r="D114" s="433"/>
      <c r="E114" s="433"/>
      <c r="F114" s="118"/>
      <c r="G114" s="434" t="s">
        <v>446</v>
      </c>
      <c r="H114" s="434"/>
      <c r="I114" s="434"/>
      <c r="J114" s="44"/>
      <c r="K114" s="89" t="s">
        <v>297</v>
      </c>
      <c r="L114" s="84">
        <v>2802317.06</v>
      </c>
      <c r="M114" s="429"/>
      <c r="N114" s="84"/>
      <c r="O114" s="429"/>
      <c r="P114" s="86"/>
      <c r="Q114" s="10"/>
    </row>
    <row r="115" spans="1:24" s="52" customFormat="1" ht="18.75">
      <c r="A115" s="50" t="s">
        <v>177</v>
      </c>
      <c r="B115" s="51"/>
      <c r="C115" s="435" t="s">
        <v>178</v>
      </c>
      <c r="D115" s="435"/>
      <c r="E115" s="435"/>
      <c r="F115" s="119"/>
      <c r="G115" s="436" t="s">
        <v>179</v>
      </c>
      <c r="H115" s="436"/>
      <c r="I115" s="436"/>
      <c r="J115" s="44"/>
      <c r="K115" s="89" t="s">
        <v>298</v>
      </c>
      <c r="L115" s="84">
        <v>2802317.06</v>
      </c>
      <c r="M115" s="429">
        <f>SUM(L115:L117)</f>
        <v>8418048.82</v>
      </c>
      <c r="N115" s="84"/>
      <c r="O115" s="429">
        <f>SUM(N115:N117)</f>
        <v>0</v>
      </c>
      <c r="P115" s="86"/>
      <c r="Q115" s="12"/>
      <c r="R115" s="12"/>
      <c r="S115" s="12"/>
      <c r="T115" s="12"/>
      <c r="U115" s="12"/>
      <c r="V115" s="12"/>
      <c r="W115" s="12"/>
      <c r="X115" s="12"/>
    </row>
    <row r="116" spans="1:17" ht="18.75">
      <c r="A116" s="15"/>
      <c r="C116" s="47"/>
      <c r="D116" s="48"/>
      <c r="E116" s="117"/>
      <c r="F116" s="117"/>
      <c r="G116" s="117"/>
      <c r="H116" s="117"/>
      <c r="I116" s="117"/>
      <c r="J116" s="44"/>
      <c r="K116" s="89" t="s">
        <v>299</v>
      </c>
      <c r="L116" s="84">
        <v>2802317.06</v>
      </c>
      <c r="M116" s="429"/>
      <c r="N116" s="84"/>
      <c r="O116" s="429"/>
      <c r="P116" s="86"/>
      <c r="Q116" s="86"/>
    </row>
    <row r="117" spans="1:16" ht="18.75">
      <c r="A117" s="15"/>
      <c r="C117" s="47"/>
      <c r="D117" s="48"/>
      <c r="E117" s="117"/>
      <c r="F117" s="117"/>
      <c r="G117" s="117"/>
      <c r="H117" s="117"/>
      <c r="I117" s="117"/>
      <c r="J117" s="44"/>
      <c r="K117" s="89" t="s">
        <v>300</v>
      </c>
      <c r="L117" s="84">
        <f>2802317.2+11097.5</f>
        <v>2813414.7</v>
      </c>
      <c r="M117" s="429"/>
      <c r="N117" s="84"/>
      <c r="O117" s="429"/>
      <c r="P117" s="86"/>
    </row>
    <row r="118" spans="1:24" ht="18.75">
      <c r="A118" s="15"/>
      <c r="C118" s="47"/>
      <c r="D118" s="48"/>
      <c r="E118" s="117"/>
      <c r="F118" s="117"/>
      <c r="G118" s="117"/>
      <c r="H118" s="117"/>
      <c r="I118" s="117"/>
      <c r="K118" s="89" t="s">
        <v>301</v>
      </c>
      <c r="L118" s="84">
        <v>2802317.06</v>
      </c>
      <c r="M118" s="429">
        <f>SUM(L118:L120)</f>
        <v>8418048.82</v>
      </c>
      <c r="N118" s="84"/>
      <c r="O118" s="429">
        <f>SUM(N118:N120)</f>
        <v>0</v>
      </c>
      <c r="P118" s="86"/>
      <c r="W118" s="52"/>
      <c r="X118" s="52"/>
    </row>
    <row r="119" spans="1:17" ht="18.75">
      <c r="A119" s="15"/>
      <c r="C119" s="47"/>
      <c r="D119" s="48"/>
      <c r="E119" s="117"/>
      <c r="F119" s="117"/>
      <c r="G119" s="117"/>
      <c r="H119" s="117"/>
      <c r="I119" s="117"/>
      <c r="K119" s="89" t="s">
        <v>302</v>
      </c>
      <c r="L119" s="84">
        <v>2802317.06</v>
      </c>
      <c r="M119" s="429"/>
      <c r="N119" s="84"/>
      <c r="O119" s="429"/>
      <c r="P119" s="86"/>
      <c r="Q119" s="86"/>
    </row>
    <row r="120" spans="1:22" ht="18.75">
      <c r="A120" s="15"/>
      <c r="C120" s="47"/>
      <c r="D120" s="48"/>
      <c r="E120" s="117"/>
      <c r="F120" s="117"/>
      <c r="G120" s="117"/>
      <c r="H120" s="117"/>
      <c r="I120" s="117"/>
      <c r="J120" s="52"/>
      <c r="K120" s="89" t="s">
        <v>303</v>
      </c>
      <c r="L120" s="84">
        <f>2802317.2+11097.5</f>
        <v>2813414.7</v>
      </c>
      <c r="M120" s="429"/>
      <c r="N120" s="84"/>
      <c r="O120" s="429"/>
      <c r="P120" s="86"/>
      <c r="R120" s="52"/>
      <c r="S120" s="52"/>
      <c r="T120" s="52"/>
      <c r="U120" s="52"/>
      <c r="V120" s="52"/>
    </row>
    <row r="121" spans="1:17" ht="18.75">
      <c r="A121" s="15"/>
      <c r="C121" s="47"/>
      <c r="D121" s="48"/>
      <c r="E121" s="117"/>
      <c r="F121" s="117"/>
      <c r="G121" s="117"/>
      <c r="H121" s="117"/>
      <c r="I121" s="117"/>
      <c r="L121" s="85">
        <f>SUM(L109:L120)</f>
        <v>33649999.99999999</v>
      </c>
      <c r="N121" s="85">
        <f>SUM(N109:N120)</f>
        <v>172494</v>
      </c>
      <c r="P121" s="85">
        <f>SUM(P109:P120)</f>
        <v>0</v>
      </c>
      <c r="Q121" s="85">
        <f>SUM(Q109:Q120)</f>
        <v>0</v>
      </c>
    </row>
    <row r="122" spans="1:9" ht="18.75">
      <c r="A122" s="15"/>
      <c r="C122" s="47"/>
      <c r="D122" s="48"/>
      <c r="E122" s="117"/>
      <c r="F122" s="117"/>
      <c r="G122" s="117"/>
      <c r="H122" s="117"/>
      <c r="I122" s="117"/>
    </row>
    <row r="123" spans="1:17" ht="18.75">
      <c r="A123" s="15"/>
      <c r="C123" s="47"/>
      <c r="D123" s="48"/>
      <c r="E123" s="117"/>
      <c r="F123" s="117"/>
      <c r="G123" s="117"/>
      <c r="H123" s="117"/>
      <c r="I123" s="117"/>
      <c r="K123" s="22" t="s">
        <v>309</v>
      </c>
      <c r="P123" s="52"/>
      <c r="Q123" s="52"/>
    </row>
    <row r="124" spans="1:12" ht="18.75">
      <c r="A124" s="15"/>
      <c r="C124" s="47"/>
      <c r="D124" s="48"/>
      <c r="E124" s="117"/>
      <c r="F124" s="117"/>
      <c r="G124" s="117"/>
      <c r="H124" s="117"/>
      <c r="I124" s="117"/>
      <c r="L124" s="86">
        <f>L121+N121</f>
        <v>33822493.99999999</v>
      </c>
    </row>
    <row r="125" spans="1:9" ht="18.75">
      <c r="A125" s="15"/>
      <c r="C125" s="47"/>
      <c r="D125" s="48"/>
      <c r="E125" s="117"/>
      <c r="F125" s="117"/>
      <c r="G125" s="117"/>
      <c r="H125" s="117"/>
      <c r="I125" s="117"/>
    </row>
    <row r="126" spans="1:12" ht="30">
      <c r="A126" s="15"/>
      <c r="C126" s="47"/>
      <c r="D126" s="48"/>
      <c r="E126" s="117"/>
      <c r="F126" s="117"/>
      <c r="G126" s="117"/>
      <c r="H126" s="117"/>
      <c r="I126" s="117"/>
      <c r="K126" s="201" t="s">
        <v>434</v>
      </c>
      <c r="L126" s="22">
        <f>15223.17+5664.64</f>
        <v>20887.81</v>
      </c>
    </row>
    <row r="127" spans="1:9" ht="18.75">
      <c r="A127" s="15"/>
      <c r="C127" s="47"/>
      <c r="D127" s="48"/>
      <c r="E127" s="117"/>
      <c r="F127" s="117"/>
      <c r="G127" s="117"/>
      <c r="H127" s="117"/>
      <c r="I127" s="117"/>
    </row>
    <row r="128" spans="1:9" ht="18.75">
      <c r="A128" s="15"/>
      <c r="C128" s="47"/>
      <c r="D128" s="48"/>
      <c r="E128" s="117"/>
      <c r="F128" s="117"/>
      <c r="G128" s="117"/>
      <c r="H128" s="117"/>
      <c r="I128" s="117"/>
    </row>
    <row r="129" spans="1:9" ht="18.75">
      <c r="A129" s="15"/>
      <c r="C129" s="47"/>
      <c r="D129" s="48"/>
      <c r="E129" s="117"/>
      <c r="F129" s="117"/>
      <c r="G129" s="117"/>
      <c r="H129" s="117"/>
      <c r="I129" s="117"/>
    </row>
    <row r="130" spans="1:9" ht="18.75">
      <c r="A130" s="15"/>
      <c r="C130" s="47"/>
      <c r="D130" s="48"/>
      <c r="E130" s="117"/>
      <c r="F130" s="117"/>
      <c r="G130" s="117"/>
      <c r="H130" s="117"/>
      <c r="I130" s="117"/>
    </row>
    <row r="131" spans="1:9" ht="18.75">
      <c r="A131" s="15"/>
      <c r="C131" s="47"/>
      <c r="D131" s="48"/>
      <c r="E131" s="117"/>
      <c r="F131" s="117"/>
      <c r="G131" s="117"/>
      <c r="H131" s="117"/>
      <c r="I131" s="117"/>
    </row>
    <row r="132" spans="1:9" ht="18.75">
      <c r="A132" s="15"/>
      <c r="C132" s="47"/>
      <c r="D132" s="48"/>
      <c r="E132" s="117"/>
      <c r="F132" s="117"/>
      <c r="G132" s="117"/>
      <c r="H132" s="117"/>
      <c r="I132" s="117"/>
    </row>
    <row r="133" spans="1:9" ht="18.75">
      <c r="A133" s="15"/>
      <c r="C133" s="47"/>
      <c r="D133" s="48"/>
      <c r="E133" s="117"/>
      <c r="F133" s="117"/>
      <c r="G133" s="117"/>
      <c r="H133" s="117"/>
      <c r="I133" s="117"/>
    </row>
    <row r="134" spans="1:9" ht="18.75">
      <c r="A134" s="15"/>
      <c r="C134" s="47"/>
      <c r="D134" s="48"/>
      <c r="E134" s="117"/>
      <c r="F134" s="117"/>
      <c r="G134" s="117"/>
      <c r="H134" s="117"/>
      <c r="I134" s="117"/>
    </row>
    <row r="135" spans="1:9" ht="18.75">
      <c r="A135" s="15"/>
      <c r="C135" s="47"/>
      <c r="D135" s="48"/>
      <c r="E135" s="117"/>
      <c r="F135" s="117"/>
      <c r="G135" s="117"/>
      <c r="H135" s="117"/>
      <c r="I135" s="117"/>
    </row>
    <row r="136" spans="1:9" ht="18.75">
      <c r="A136" s="15"/>
      <c r="C136" s="47"/>
      <c r="D136" s="48"/>
      <c r="E136" s="117"/>
      <c r="F136" s="117"/>
      <c r="G136" s="117"/>
      <c r="H136" s="117"/>
      <c r="I136" s="117"/>
    </row>
    <row r="137" spans="1:9" ht="18.75">
      <c r="A137" s="15"/>
      <c r="C137" s="47"/>
      <c r="D137" s="48"/>
      <c r="E137" s="117"/>
      <c r="F137" s="117"/>
      <c r="G137" s="117"/>
      <c r="H137" s="117"/>
      <c r="I137" s="117"/>
    </row>
    <row r="138" spans="1:9" ht="18.75">
      <c r="A138" s="15"/>
      <c r="C138" s="47"/>
      <c r="D138" s="48"/>
      <c r="E138" s="117"/>
      <c r="F138" s="117"/>
      <c r="G138" s="117"/>
      <c r="H138" s="117"/>
      <c r="I138" s="117"/>
    </row>
    <row r="139" spans="1:9" ht="18.75">
      <c r="A139" s="15"/>
      <c r="C139" s="47"/>
      <c r="D139" s="48"/>
      <c r="E139" s="117"/>
      <c r="F139" s="117"/>
      <c r="G139" s="117"/>
      <c r="H139" s="117"/>
      <c r="I139" s="117"/>
    </row>
    <row r="140" spans="1:9" ht="18.75">
      <c r="A140" s="15"/>
      <c r="C140" s="47"/>
      <c r="D140" s="48"/>
      <c r="E140" s="117"/>
      <c r="F140" s="117"/>
      <c r="G140" s="117"/>
      <c r="H140" s="117"/>
      <c r="I140" s="117"/>
    </row>
    <row r="141" spans="1:9" ht="18.75">
      <c r="A141" s="15"/>
      <c r="C141" s="47"/>
      <c r="D141" s="48"/>
      <c r="E141" s="117"/>
      <c r="F141" s="117"/>
      <c r="G141" s="117"/>
      <c r="H141" s="117"/>
      <c r="I141" s="117"/>
    </row>
    <row r="142" spans="1:9" ht="18.75">
      <c r="A142" s="15"/>
      <c r="C142" s="47"/>
      <c r="D142" s="48"/>
      <c r="E142" s="117"/>
      <c r="F142" s="117"/>
      <c r="G142" s="117"/>
      <c r="H142" s="117"/>
      <c r="I142" s="117"/>
    </row>
    <row r="143" spans="1:9" ht="18.75">
      <c r="A143" s="15"/>
      <c r="C143" s="47"/>
      <c r="D143" s="48"/>
      <c r="E143" s="117"/>
      <c r="F143" s="117"/>
      <c r="G143" s="117"/>
      <c r="H143" s="117"/>
      <c r="I143" s="117"/>
    </row>
    <row r="144" spans="1:9" ht="18.75">
      <c r="A144" s="15"/>
      <c r="C144" s="47"/>
      <c r="D144" s="48"/>
      <c r="E144" s="117"/>
      <c r="F144" s="117"/>
      <c r="G144" s="117"/>
      <c r="H144" s="117"/>
      <c r="I144" s="117"/>
    </row>
    <row r="145" spans="1:9" ht="18.75">
      <c r="A145" s="15"/>
      <c r="C145" s="47"/>
      <c r="D145" s="48"/>
      <c r="E145" s="117"/>
      <c r="F145" s="117"/>
      <c r="G145" s="117"/>
      <c r="H145" s="117"/>
      <c r="I145" s="117"/>
    </row>
    <row r="146" spans="1:9" ht="18.75">
      <c r="A146" s="15"/>
      <c r="C146" s="47"/>
      <c r="D146" s="48"/>
      <c r="E146" s="117"/>
      <c r="F146" s="117"/>
      <c r="G146" s="117"/>
      <c r="H146" s="117"/>
      <c r="I146" s="117"/>
    </row>
    <row r="147" spans="1:9" ht="18.75">
      <c r="A147" s="15"/>
      <c r="C147" s="47"/>
      <c r="D147" s="48"/>
      <c r="E147" s="117"/>
      <c r="F147" s="117"/>
      <c r="G147" s="117"/>
      <c r="H147" s="117"/>
      <c r="I147" s="117"/>
    </row>
    <row r="148" spans="1:9" ht="18.75">
      <c r="A148" s="15"/>
      <c r="C148" s="47"/>
      <c r="D148" s="48"/>
      <c r="E148" s="117"/>
      <c r="F148" s="117"/>
      <c r="G148" s="117"/>
      <c r="H148" s="117"/>
      <c r="I148" s="117"/>
    </row>
    <row r="149" spans="1:9" ht="18.75">
      <c r="A149" s="15"/>
      <c r="C149" s="47"/>
      <c r="D149" s="48"/>
      <c r="E149" s="117"/>
      <c r="F149" s="117"/>
      <c r="G149" s="117"/>
      <c r="H149" s="117"/>
      <c r="I149" s="117"/>
    </row>
    <row r="150" spans="1:9" ht="18.75">
      <c r="A150" s="15"/>
      <c r="C150" s="47"/>
      <c r="D150" s="48"/>
      <c r="E150" s="117"/>
      <c r="F150" s="117"/>
      <c r="G150" s="117"/>
      <c r="H150" s="117"/>
      <c r="I150" s="117"/>
    </row>
    <row r="151" spans="1:9" ht="18.75">
      <c r="A151" s="15"/>
      <c r="C151" s="47"/>
      <c r="D151" s="48"/>
      <c r="E151" s="117"/>
      <c r="F151" s="117"/>
      <c r="G151" s="117"/>
      <c r="H151" s="117"/>
      <c r="I151" s="117"/>
    </row>
    <row r="152" spans="1:9" ht="18.75">
      <c r="A152" s="15"/>
      <c r="C152" s="47"/>
      <c r="D152" s="48"/>
      <c r="E152" s="117"/>
      <c r="F152" s="117"/>
      <c r="G152" s="117"/>
      <c r="H152" s="117"/>
      <c r="I152" s="117"/>
    </row>
    <row r="153" spans="1:9" ht="18.75">
      <c r="A153" s="15"/>
      <c r="C153" s="47"/>
      <c r="D153" s="48"/>
      <c r="E153" s="117"/>
      <c r="F153" s="117"/>
      <c r="G153" s="117"/>
      <c r="H153" s="117"/>
      <c r="I153" s="117"/>
    </row>
    <row r="154" spans="1:9" ht="18.75">
      <c r="A154" s="15"/>
      <c r="C154" s="47"/>
      <c r="D154" s="48"/>
      <c r="E154" s="117"/>
      <c r="F154" s="117"/>
      <c r="G154" s="117"/>
      <c r="H154" s="117"/>
      <c r="I154" s="117"/>
    </row>
    <row r="155" spans="1:9" ht="18.75">
      <c r="A155" s="15"/>
      <c r="C155" s="47"/>
      <c r="D155" s="48"/>
      <c r="E155" s="117"/>
      <c r="F155" s="117"/>
      <c r="G155" s="117"/>
      <c r="H155" s="117"/>
      <c r="I155" s="117"/>
    </row>
    <row r="156" spans="1:9" ht="18.75">
      <c r="A156" s="15"/>
      <c r="C156" s="47"/>
      <c r="D156" s="48"/>
      <c r="E156" s="117"/>
      <c r="F156" s="117"/>
      <c r="G156" s="117"/>
      <c r="H156" s="117"/>
      <c r="I156" s="117"/>
    </row>
    <row r="157" ht="18.75">
      <c r="A157" s="53"/>
    </row>
    <row r="158" ht="18.75">
      <c r="A158" s="53"/>
    </row>
    <row r="159" ht="18.75">
      <c r="A159" s="53"/>
    </row>
    <row r="160" ht="18.75">
      <c r="A160" s="53"/>
    </row>
    <row r="161" spans="1:24" s="13" customFormat="1" ht="18.75">
      <c r="A161" s="53"/>
      <c r="E161" s="120"/>
      <c r="F161" s="120"/>
      <c r="G161" s="120"/>
      <c r="H161" s="120"/>
      <c r="I161" s="120"/>
      <c r="J161" s="12"/>
      <c r="K161" s="22"/>
      <c r="L161" s="12"/>
      <c r="M161" s="12"/>
      <c r="N161" s="12"/>
      <c r="O161" s="12"/>
      <c r="P161" s="12"/>
      <c r="Q161" s="12"/>
      <c r="R161" s="12"/>
      <c r="S161" s="12"/>
      <c r="T161" s="12"/>
      <c r="U161" s="12"/>
      <c r="V161" s="12"/>
      <c r="W161" s="12"/>
      <c r="X161" s="12"/>
    </row>
    <row r="162" spans="1:24" s="13" customFormat="1" ht="18.75">
      <c r="A162" s="53"/>
      <c r="E162" s="120"/>
      <c r="F162" s="120"/>
      <c r="G162" s="120"/>
      <c r="H162" s="120"/>
      <c r="I162" s="120"/>
      <c r="J162" s="12"/>
      <c r="K162" s="22"/>
      <c r="L162" s="12"/>
      <c r="M162" s="12"/>
      <c r="N162" s="12"/>
      <c r="O162" s="12"/>
      <c r="P162" s="12"/>
      <c r="Q162" s="12"/>
      <c r="R162" s="12"/>
      <c r="S162" s="12"/>
      <c r="T162" s="12"/>
      <c r="U162" s="12"/>
      <c r="V162" s="12"/>
      <c r="W162" s="12"/>
      <c r="X162" s="12"/>
    </row>
    <row r="163" spans="1:24" s="13" customFormat="1" ht="18.75">
      <c r="A163" s="53"/>
      <c r="E163" s="120"/>
      <c r="F163" s="120"/>
      <c r="G163" s="120"/>
      <c r="H163" s="120"/>
      <c r="I163" s="120"/>
      <c r="J163" s="12"/>
      <c r="K163" s="22"/>
      <c r="L163" s="12"/>
      <c r="M163" s="12"/>
      <c r="N163" s="12"/>
      <c r="O163" s="12"/>
      <c r="P163" s="12"/>
      <c r="Q163" s="12"/>
      <c r="R163" s="12"/>
      <c r="S163" s="12"/>
      <c r="T163" s="12"/>
      <c r="U163" s="12"/>
      <c r="V163" s="12"/>
      <c r="W163" s="12"/>
      <c r="X163" s="12"/>
    </row>
    <row r="164" spans="1:22" s="13" customFormat="1" ht="18.75">
      <c r="A164" s="53"/>
      <c r="E164" s="120"/>
      <c r="F164" s="120"/>
      <c r="G164" s="120"/>
      <c r="H164" s="120"/>
      <c r="I164" s="120"/>
      <c r="J164" s="12"/>
      <c r="K164" s="78"/>
      <c r="P164" s="12"/>
      <c r="Q164" s="12"/>
      <c r="R164" s="12"/>
      <c r="S164" s="12"/>
      <c r="T164" s="12"/>
      <c r="U164" s="12"/>
      <c r="V164" s="12"/>
    </row>
    <row r="165" spans="1:22" s="13" customFormat="1" ht="18.75">
      <c r="A165" s="53"/>
      <c r="E165" s="120"/>
      <c r="F165" s="120"/>
      <c r="G165" s="120"/>
      <c r="H165" s="120"/>
      <c r="I165" s="120"/>
      <c r="J165" s="12"/>
      <c r="K165" s="78"/>
      <c r="P165" s="12"/>
      <c r="Q165" s="12"/>
      <c r="R165" s="12"/>
      <c r="S165" s="12"/>
      <c r="T165" s="12"/>
      <c r="U165" s="12"/>
      <c r="V165" s="12"/>
    </row>
    <row r="166" spans="1:17" s="13" customFormat="1" ht="18.75">
      <c r="A166" s="53"/>
      <c r="E166" s="120"/>
      <c r="F166" s="120"/>
      <c r="G166" s="120"/>
      <c r="H166" s="120"/>
      <c r="I166" s="120"/>
      <c r="K166" s="78"/>
      <c r="P166" s="12"/>
      <c r="Q166" s="12"/>
    </row>
    <row r="167" spans="1:17" s="13" customFormat="1" ht="18.75">
      <c r="A167" s="53"/>
      <c r="E167" s="120"/>
      <c r="F167" s="120"/>
      <c r="G167" s="120"/>
      <c r="H167" s="120"/>
      <c r="I167" s="120"/>
      <c r="K167" s="78"/>
      <c r="P167" s="12"/>
      <c r="Q167" s="12"/>
    </row>
    <row r="168" spans="1:17" s="13" customFormat="1" ht="18.75">
      <c r="A168" s="53"/>
      <c r="E168" s="120"/>
      <c r="F168" s="120"/>
      <c r="G168" s="120"/>
      <c r="H168" s="120"/>
      <c r="I168" s="120"/>
      <c r="K168" s="78"/>
      <c r="P168" s="12"/>
      <c r="Q168" s="12"/>
    </row>
    <row r="169" spans="1:11" s="13" customFormat="1" ht="18.75">
      <c r="A169" s="53"/>
      <c r="E169" s="120"/>
      <c r="F169" s="120"/>
      <c r="G169" s="120"/>
      <c r="H169" s="120"/>
      <c r="I169" s="120"/>
      <c r="K169" s="78"/>
    </row>
    <row r="170" spans="1:11" s="13" customFormat="1" ht="18.75">
      <c r="A170" s="53"/>
      <c r="E170" s="120"/>
      <c r="F170" s="120"/>
      <c r="G170" s="120"/>
      <c r="H170" s="120"/>
      <c r="I170" s="120"/>
      <c r="K170" s="78"/>
    </row>
    <row r="171" spans="1:11" s="13" customFormat="1" ht="18.75">
      <c r="A171" s="53"/>
      <c r="E171" s="120"/>
      <c r="F171" s="120"/>
      <c r="G171" s="120"/>
      <c r="H171" s="120"/>
      <c r="I171" s="120"/>
      <c r="K171" s="78"/>
    </row>
    <row r="172" spans="1:11" s="13" customFormat="1" ht="18.75">
      <c r="A172" s="53"/>
      <c r="E172" s="120"/>
      <c r="F172" s="120"/>
      <c r="G172" s="120"/>
      <c r="H172" s="120"/>
      <c r="I172" s="120"/>
      <c r="K172" s="78"/>
    </row>
    <row r="173" spans="1:11" s="13" customFormat="1" ht="18.75">
      <c r="A173" s="53"/>
      <c r="E173" s="120"/>
      <c r="F173" s="120"/>
      <c r="G173" s="120"/>
      <c r="H173" s="120"/>
      <c r="I173" s="120"/>
      <c r="K173" s="78"/>
    </row>
    <row r="174" spans="1:11" s="13" customFormat="1" ht="18.75">
      <c r="A174" s="53"/>
      <c r="E174" s="120"/>
      <c r="F174" s="120"/>
      <c r="G174" s="120"/>
      <c r="H174" s="120"/>
      <c r="I174" s="120"/>
      <c r="K174" s="78"/>
    </row>
    <row r="175" spans="1:11" s="13" customFormat="1" ht="18.75">
      <c r="A175" s="53"/>
      <c r="E175" s="120"/>
      <c r="F175" s="120"/>
      <c r="G175" s="120"/>
      <c r="H175" s="120"/>
      <c r="I175" s="120"/>
      <c r="K175" s="78"/>
    </row>
    <row r="176" spans="1:11" s="13" customFormat="1" ht="18.75">
      <c r="A176" s="53"/>
      <c r="E176" s="120"/>
      <c r="F176" s="120"/>
      <c r="G176" s="120"/>
      <c r="H176" s="120"/>
      <c r="I176" s="120"/>
      <c r="K176" s="78"/>
    </row>
    <row r="177" spans="1:11" s="13" customFormat="1" ht="18.75">
      <c r="A177" s="53"/>
      <c r="E177" s="120"/>
      <c r="F177" s="120"/>
      <c r="G177" s="120"/>
      <c r="H177" s="120"/>
      <c r="I177" s="120"/>
      <c r="K177" s="78"/>
    </row>
    <row r="178" spans="1:11" s="13" customFormat="1" ht="18.75">
      <c r="A178" s="53"/>
      <c r="E178" s="120"/>
      <c r="F178" s="120"/>
      <c r="G178" s="120"/>
      <c r="H178" s="120"/>
      <c r="I178" s="120"/>
      <c r="K178" s="78"/>
    </row>
    <row r="179" spans="1:11" s="13" customFormat="1" ht="18.75">
      <c r="A179" s="53"/>
      <c r="E179" s="120"/>
      <c r="F179" s="120"/>
      <c r="G179" s="120"/>
      <c r="H179" s="120"/>
      <c r="I179" s="120"/>
      <c r="K179" s="78"/>
    </row>
    <row r="180" spans="1:11" s="13" customFormat="1" ht="18.75">
      <c r="A180" s="53"/>
      <c r="E180" s="120"/>
      <c r="F180" s="120"/>
      <c r="G180" s="120"/>
      <c r="H180" s="120"/>
      <c r="I180" s="120"/>
      <c r="K180" s="78"/>
    </row>
    <row r="181" spans="1:11" s="13" customFormat="1" ht="18.75">
      <c r="A181" s="53"/>
      <c r="E181" s="120"/>
      <c r="F181" s="120"/>
      <c r="G181" s="120"/>
      <c r="H181" s="120"/>
      <c r="I181" s="120"/>
      <c r="K181" s="78"/>
    </row>
    <row r="182" spans="1:11" s="13" customFormat="1" ht="18.75">
      <c r="A182" s="53"/>
      <c r="E182" s="120"/>
      <c r="F182" s="120"/>
      <c r="G182" s="120"/>
      <c r="H182" s="120"/>
      <c r="I182" s="120"/>
      <c r="K182" s="78"/>
    </row>
    <row r="183" spans="1:11" s="13" customFormat="1" ht="18.75">
      <c r="A183" s="53"/>
      <c r="E183" s="120"/>
      <c r="F183" s="120"/>
      <c r="G183" s="120"/>
      <c r="H183" s="120"/>
      <c r="I183" s="120"/>
      <c r="K183" s="78"/>
    </row>
    <row r="184" spans="1:11" s="13" customFormat="1" ht="18.75">
      <c r="A184" s="53"/>
      <c r="E184" s="120"/>
      <c r="F184" s="120"/>
      <c r="G184" s="120"/>
      <c r="H184" s="120"/>
      <c r="I184" s="120"/>
      <c r="K184" s="78"/>
    </row>
    <row r="185" spans="1:11" s="13" customFormat="1" ht="18.75">
      <c r="A185" s="53"/>
      <c r="E185" s="120"/>
      <c r="F185" s="120"/>
      <c r="G185" s="120"/>
      <c r="H185" s="120"/>
      <c r="I185" s="120"/>
      <c r="K185" s="78"/>
    </row>
    <row r="186" spans="1:11" s="13" customFormat="1" ht="18.75">
      <c r="A186" s="53"/>
      <c r="E186" s="120"/>
      <c r="F186" s="120"/>
      <c r="G186" s="120"/>
      <c r="H186" s="120"/>
      <c r="I186" s="120"/>
      <c r="K186" s="78"/>
    </row>
    <row r="187" spans="1:11" s="13" customFormat="1" ht="18.75">
      <c r="A187" s="53"/>
      <c r="E187" s="120"/>
      <c r="F187" s="120"/>
      <c r="G187" s="120"/>
      <c r="H187" s="120"/>
      <c r="I187" s="120"/>
      <c r="K187" s="78"/>
    </row>
    <row r="188" spans="1:11" s="13" customFormat="1" ht="18.75">
      <c r="A188" s="53"/>
      <c r="E188" s="120"/>
      <c r="F188" s="120"/>
      <c r="G188" s="120"/>
      <c r="H188" s="120"/>
      <c r="I188" s="120"/>
      <c r="K188" s="78"/>
    </row>
    <row r="189" spans="1:11" s="13" customFormat="1" ht="18.75">
      <c r="A189" s="53"/>
      <c r="E189" s="120"/>
      <c r="F189" s="120"/>
      <c r="G189" s="120"/>
      <c r="H189" s="120"/>
      <c r="I189" s="120"/>
      <c r="K189" s="78"/>
    </row>
    <row r="190" spans="1:11" s="13" customFormat="1" ht="18.75">
      <c r="A190" s="53"/>
      <c r="E190" s="120"/>
      <c r="F190" s="120"/>
      <c r="G190" s="120"/>
      <c r="H190" s="120"/>
      <c r="I190" s="120"/>
      <c r="K190" s="78"/>
    </row>
    <row r="191" spans="1:11" s="13" customFormat="1" ht="18.75">
      <c r="A191" s="53"/>
      <c r="E191" s="120"/>
      <c r="F191" s="120"/>
      <c r="G191" s="120"/>
      <c r="H191" s="120"/>
      <c r="I191" s="120"/>
      <c r="K191" s="78"/>
    </row>
    <row r="192" spans="1:11" s="13" customFormat="1" ht="18.75">
      <c r="A192" s="53"/>
      <c r="E192" s="120"/>
      <c r="F192" s="120"/>
      <c r="G192" s="120"/>
      <c r="H192" s="120"/>
      <c r="I192" s="120"/>
      <c r="K192" s="78"/>
    </row>
    <row r="193" spans="1:11" s="13" customFormat="1" ht="18.75">
      <c r="A193" s="53"/>
      <c r="E193" s="120"/>
      <c r="F193" s="120"/>
      <c r="G193" s="120"/>
      <c r="H193" s="120"/>
      <c r="I193" s="120"/>
      <c r="K193" s="78"/>
    </row>
    <row r="194" spans="1:11" s="13" customFormat="1" ht="18.75">
      <c r="A194" s="53"/>
      <c r="E194" s="120"/>
      <c r="F194" s="120"/>
      <c r="G194" s="120"/>
      <c r="H194" s="120"/>
      <c r="I194" s="120"/>
      <c r="K194" s="78"/>
    </row>
    <row r="195" spans="1:11" s="13" customFormat="1" ht="18.75">
      <c r="A195" s="53"/>
      <c r="E195" s="120"/>
      <c r="F195" s="120"/>
      <c r="G195" s="120"/>
      <c r="H195" s="120"/>
      <c r="I195" s="120"/>
      <c r="K195" s="78"/>
    </row>
    <row r="196" spans="1:11" s="13" customFormat="1" ht="18.75">
      <c r="A196" s="53"/>
      <c r="E196" s="120"/>
      <c r="F196" s="120"/>
      <c r="G196" s="120"/>
      <c r="H196" s="120"/>
      <c r="I196" s="120"/>
      <c r="K196" s="78"/>
    </row>
    <row r="197" spans="1:11" s="13" customFormat="1" ht="18.75">
      <c r="A197" s="53"/>
      <c r="E197" s="120"/>
      <c r="F197" s="120"/>
      <c r="G197" s="120"/>
      <c r="H197" s="120"/>
      <c r="I197" s="120"/>
      <c r="K197" s="78"/>
    </row>
    <row r="198" spans="1:11" s="13" customFormat="1" ht="18.75">
      <c r="A198" s="53"/>
      <c r="E198" s="120"/>
      <c r="F198" s="120"/>
      <c r="G198" s="120"/>
      <c r="H198" s="120"/>
      <c r="I198" s="120"/>
      <c r="K198" s="78"/>
    </row>
    <row r="199" spans="1:11" s="13" customFormat="1" ht="18.75">
      <c r="A199" s="53"/>
      <c r="E199" s="120"/>
      <c r="F199" s="120"/>
      <c r="G199" s="120"/>
      <c r="H199" s="120"/>
      <c r="I199" s="120"/>
      <c r="K199" s="78"/>
    </row>
    <row r="200" spans="1:11" s="13" customFormat="1" ht="18.75">
      <c r="A200" s="53"/>
      <c r="E200" s="120"/>
      <c r="F200" s="120"/>
      <c r="G200" s="120"/>
      <c r="H200" s="120"/>
      <c r="I200" s="120"/>
      <c r="K200" s="78"/>
    </row>
    <row r="201" spans="1:11" s="13" customFormat="1" ht="18.75">
      <c r="A201" s="53"/>
      <c r="E201" s="120"/>
      <c r="F201" s="120"/>
      <c r="G201" s="120"/>
      <c r="H201" s="120"/>
      <c r="I201" s="120"/>
      <c r="K201" s="78"/>
    </row>
    <row r="202" spans="1:11" s="13" customFormat="1" ht="18.75">
      <c r="A202" s="53"/>
      <c r="E202" s="120"/>
      <c r="F202" s="120"/>
      <c r="G202" s="120"/>
      <c r="H202" s="120"/>
      <c r="I202" s="120"/>
      <c r="K202" s="78"/>
    </row>
    <row r="203" spans="1:11" s="13" customFormat="1" ht="18.75">
      <c r="A203" s="53"/>
      <c r="E203" s="120"/>
      <c r="F203" s="120"/>
      <c r="G203" s="120"/>
      <c r="H203" s="120"/>
      <c r="I203" s="120"/>
      <c r="K203" s="78"/>
    </row>
    <row r="204" spans="1:11" s="13" customFormat="1" ht="18.75">
      <c r="A204" s="53"/>
      <c r="E204" s="120"/>
      <c r="F204" s="120"/>
      <c r="G204" s="120"/>
      <c r="H204" s="120"/>
      <c r="I204" s="120"/>
      <c r="K204" s="78"/>
    </row>
    <row r="205" spans="1:11" s="13" customFormat="1" ht="18.75">
      <c r="A205" s="53"/>
      <c r="E205" s="120"/>
      <c r="F205" s="120"/>
      <c r="G205" s="120"/>
      <c r="H205" s="120"/>
      <c r="I205" s="120"/>
      <c r="K205" s="78"/>
    </row>
    <row r="206" spans="1:11" s="13" customFormat="1" ht="18.75">
      <c r="A206" s="53"/>
      <c r="E206" s="120"/>
      <c r="F206" s="120"/>
      <c r="G206" s="120"/>
      <c r="H206" s="120"/>
      <c r="I206" s="120"/>
      <c r="K206" s="78"/>
    </row>
    <row r="207" spans="1:11" s="13" customFormat="1" ht="18.75">
      <c r="A207" s="53"/>
      <c r="E207" s="120"/>
      <c r="F207" s="120"/>
      <c r="G207" s="120"/>
      <c r="H207" s="120"/>
      <c r="I207" s="120"/>
      <c r="K207" s="78"/>
    </row>
    <row r="208" spans="1:11" s="13" customFormat="1" ht="18.75">
      <c r="A208" s="53"/>
      <c r="E208" s="120"/>
      <c r="F208" s="120"/>
      <c r="G208" s="120"/>
      <c r="H208" s="120"/>
      <c r="I208" s="120"/>
      <c r="K208" s="78"/>
    </row>
    <row r="209" spans="1:11" s="13" customFormat="1" ht="18.75">
      <c r="A209" s="53"/>
      <c r="E209" s="120"/>
      <c r="F209" s="120"/>
      <c r="G209" s="120"/>
      <c r="H209" s="120"/>
      <c r="I209" s="120"/>
      <c r="K209" s="78"/>
    </row>
    <row r="210" spans="1:11" s="13" customFormat="1" ht="18.75">
      <c r="A210" s="53"/>
      <c r="E210" s="120"/>
      <c r="F210" s="120"/>
      <c r="G210" s="120"/>
      <c r="H210" s="120"/>
      <c r="I210" s="120"/>
      <c r="K210" s="78"/>
    </row>
    <row r="211" spans="1:11" s="13" customFormat="1" ht="18.75">
      <c r="A211" s="53"/>
      <c r="E211" s="120"/>
      <c r="F211" s="120"/>
      <c r="G211" s="120"/>
      <c r="H211" s="120"/>
      <c r="I211" s="120"/>
      <c r="K211" s="78"/>
    </row>
    <row r="212" spans="1:11" s="13" customFormat="1" ht="18.75">
      <c r="A212" s="53"/>
      <c r="E212" s="120"/>
      <c r="F212" s="120"/>
      <c r="G212" s="120"/>
      <c r="H212" s="120"/>
      <c r="I212" s="120"/>
      <c r="K212" s="78"/>
    </row>
    <row r="213" spans="1:11" s="13" customFormat="1" ht="18.75">
      <c r="A213" s="53"/>
      <c r="E213" s="120"/>
      <c r="F213" s="120"/>
      <c r="G213" s="120"/>
      <c r="H213" s="120"/>
      <c r="I213" s="120"/>
      <c r="K213" s="78"/>
    </row>
    <row r="214" spans="1:11" s="13" customFormat="1" ht="18.75">
      <c r="A214" s="53"/>
      <c r="E214" s="120"/>
      <c r="F214" s="120"/>
      <c r="G214" s="120"/>
      <c r="H214" s="120"/>
      <c r="I214" s="120"/>
      <c r="K214" s="78"/>
    </row>
    <row r="215" spans="1:11" s="13" customFormat="1" ht="18.75">
      <c r="A215" s="53"/>
      <c r="E215" s="120"/>
      <c r="F215" s="120"/>
      <c r="G215" s="120"/>
      <c r="H215" s="120"/>
      <c r="I215" s="120"/>
      <c r="K215" s="78"/>
    </row>
    <row r="216" spans="1:11" s="13" customFormat="1" ht="18.75">
      <c r="A216" s="53"/>
      <c r="E216" s="120"/>
      <c r="F216" s="120"/>
      <c r="G216" s="120"/>
      <c r="H216" s="120"/>
      <c r="I216" s="120"/>
      <c r="K216" s="78"/>
    </row>
    <row r="217" spans="1:11" s="13" customFormat="1" ht="18.75">
      <c r="A217" s="53"/>
      <c r="E217" s="120"/>
      <c r="F217" s="120"/>
      <c r="G217" s="120"/>
      <c r="H217" s="120"/>
      <c r="I217" s="120"/>
      <c r="K217" s="78"/>
    </row>
    <row r="218" spans="1:11" s="13" customFormat="1" ht="18.75">
      <c r="A218" s="53"/>
      <c r="E218" s="120"/>
      <c r="F218" s="120"/>
      <c r="G218" s="120"/>
      <c r="H218" s="120"/>
      <c r="I218" s="120"/>
      <c r="K218" s="78"/>
    </row>
    <row r="219" spans="1:11" s="13" customFormat="1" ht="18.75">
      <c r="A219" s="53"/>
      <c r="E219" s="120"/>
      <c r="F219" s="120"/>
      <c r="G219" s="120"/>
      <c r="H219" s="120"/>
      <c r="I219" s="120"/>
      <c r="K219" s="78"/>
    </row>
    <row r="220" spans="1:11" s="13" customFormat="1" ht="18.75">
      <c r="A220" s="53"/>
      <c r="E220" s="120"/>
      <c r="F220" s="120"/>
      <c r="G220" s="120"/>
      <c r="H220" s="120"/>
      <c r="I220" s="120"/>
      <c r="K220" s="78"/>
    </row>
    <row r="221" spans="1:11" s="13" customFormat="1" ht="18.75">
      <c r="A221" s="53"/>
      <c r="E221" s="120"/>
      <c r="F221" s="120"/>
      <c r="G221" s="120"/>
      <c r="H221" s="120"/>
      <c r="I221" s="120"/>
      <c r="K221" s="78"/>
    </row>
    <row r="222" spans="1:11" s="13" customFormat="1" ht="18.75">
      <c r="A222" s="53"/>
      <c r="E222" s="120"/>
      <c r="F222" s="120"/>
      <c r="G222" s="120"/>
      <c r="H222" s="120"/>
      <c r="I222" s="120"/>
      <c r="K222" s="78"/>
    </row>
    <row r="223" spans="1:11" s="13" customFormat="1" ht="18.75">
      <c r="A223" s="53"/>
      <c r="E223" s="120"/>
      <c r="F223" s="120"/>
      <c r="G223" s="120"/>
      <c r="H223" s="120"/>
      <c r="I223" s="120"/>
      <c r="K223" s="78"/>
    </row>
    <row r="224" spans="1:11" s="13" customFormat="1" ht="18.75">
      <c r="A224" s="53"/>
      <c r="E224" s="120"/>
      <c r="F224" s="120"/>
      <c r="G224" s="120"/>
      <c r="H224" s="120"/>
      <c r="I224" s="120"/>
      <c r="K224" s="78"/>
    </row>
    <row r="225" spans="1:11" s="13" customFormat="1" ht="18.75">
      <c r="A225" s="53"/>
      <c r="E225" s="120"/>
      <c r="F225" s="120"/>
      <c r="G225" s="120"/>
      <c r="H225" s="120"/>
      <c r="I225" s="120"/>
      <c r="K225" s="78"/>
    </row>
    <row r="226" spans="1:11" s="13" customFormat="1" ht="18.75">
      <c r="A226" s="53"/>
      <c r="E226" s="120"/>
      <c r="F226" s="120"/>
      <c r="G226" s="120"/>
      <c r="H226" s="120"/>
      <c r="I226" s="120"/>
      <c r="K226" s="78"/>
    </row>
    <row r="227" spans="1:11" s="13" customFormat="1" ht="18.75">
      <c r="A227" s="53"/>
      <c r="E227" s="120"/>
      <c r="F227" s="120"/>
      <c r="G227" s="120"/>
      <c r="H227" s="120"/>
      <c r="I227" s="120"/>
      <c r="K227" s="78"/>
    </row>
    <row r="228" spans="1:11" s="13" customFormat="1" ht="18.75">
      <c r="A228" s="53"/>
      <c r="E228" s="120"/>
      <c r="F228" s="120"/>
      <c r="G228" s="120"/>
      <c r="H228" s="120"/>
      <c r="I228" s="120"/>
      <c r="K228" s="78"/>
    </row>
    <row r="229" spans="1:11" s="13" customFormat="1" ht="18.75">
      <c r="A229" s="53"/>
      <c r="E229" s="120"/>
      <c r="F229" s="120"/>
      <c r="G229" s="120"/>
      <c r="H229" s="120"/>
      <c r="I229" s="120"/>
      <c r="K229" s="78"/>
    </row>
    <row r="230" spans="1:11" s="13" customFormat="1" ht="18.75">
      <c r="A230" s="53"/>
      <c r="E230" s="120"/>
      <c r="F230" s="120"/>
      <c r="G230" s="120"/>
      <c r="H230" s="120"/>
      <c r="I230" s="120"/>
      <c r="K230" s="78"/>
    </row>
    <row r="231" spans="1:11" s="13" customFormat="1" ht="18.75">
      <c r="A231" s="53"/>
      <c r="E231" s="120"/>
      <c r="F231" s="120"/>
      <c r="G231" s="120"/>
      <c r="H231" s="120"/>
      <c r="I231" s="120"/>
      <c r="K231" s="78"/>
    </row>
    <row r="232" spans="1:11" s="13" customFormat="1" ht="18.75">
      <c r="A232" s="53"/>
      <c r="E232" s="120"/>
      <c r="F232" s="120"/>
      <c r="G232" s="120"/>
      <c r="H232" s="120"/>
      <c r="I232" s="120"/>
      <c r="K232" s="78"/>
    </row>
    <row r="233" spans="1:11" s="13" customFormat="1" ht="18.75">
      <c r="A233" s="53"/>
      <c r="E233" s="120"/>
      <c r="F233" s="120"/>
      <c r="G233" s="120"/>
      <c r="H233" s="120"/>
      <c r="I233" s="120"/>
      <c r="K233" s="78"/>
    </row>
    <row r="234" spans="1:11" s="13" customFormat="1" ht="18.75">
      <c r="A234" s="53"/>
      <c r="E234" s="120"/>
      <c r="F234" s="120"/>
      <c r="G234" s="120"/>
      <c r="H234" s="120"/>
      <c r="I234" s="120"/>
      <c r="K234" s="78"/>
    </row>
    <row r="235" spans="1:11" s="13" customFormat="1" ht="18.75">
      <c r="A235" s="53"/>
      <c r="E235" s="120"/>
      <c r="F235" s="120"/>
      <c r="G235" s="120"/>
      <c r="H235" s="120"/>
      <c r="I235" s="120"/>
      <c r="K235" s="78"/>
    </row>
    <row r="236" spans="1:11" s="13" customFormat="1" ht="18.75">
      <c r="A236" s="53"/>
      <c r="E236" s="120"/>
      <c r="F236" s="120"/>
      <c r="G236" s="120"/>
      <c r="H236" s="120"/>
      <c r="I236" s="120"/>
      <c r="K236" s="78"/>
    </row>
    <row r="237" spans="1:11" s="13" customFormat="1" ht="18.75">
      <c r="A237" s="53"/>
      <c r="E237" s="120"/>
      <c r="F237" s="120"/>
      <c r="G237" s="120"/>
      <c r="H237" s="120"/>
      <c r="I237" s="120"/>
      <c r="K237" s="78"/>
    </row>
    <row r="238" spans="1:11" s="13" customFormat="1" ht="18.75">
      <c r="A238" s="53"/>
      <c r="E238" s="120"/>
      <c r="F238" s="120"/>
      <c r="G238" s="120"/>
      <c r="H238" s="120"/>
      <c r="I238" s="120"/>
      <c r="K238" s="78"/>
    </row>
    <row r="239" spans="1:11" s="13" customFormat="1" ht="18.75">
      <c r="A239" s="53"/>
      <c r="E239" s="120"/>
      <c r="F239" s="120"/>
      <c r="G239" s="120"/>
      <c r="H239" s="120"/>
      <c r="I239" s="120"/>
      <c r="K239" s="78"/>
    </row>
    <row r="240" spans="1:11" s="13" customFormat="1" ht="18.75">
      <c r="A240" s="53"/>
      <c r="E240" s="120"/>
      <c r="F240" s="120"/>
      <c r="G240" s="120"/>
      <c r="H240" s="120"/>
      <c r="I240" s="120"/>
      <c r="K240" s="78"/>
    </row>
    <row r="241" spans="1:11" s="13" customFormat="1" ht="18.75">
      <c r="A241" s="53"/>
      <c r="E241" s="120"/>
      <c r="F241" s="120"/>
      <c r="G241" s="120"/>
      <c r="H241" s="120"/>
      <c r="I241" s="120"/>
      <c r="K241" s="78"/>
    </row>
    <row r="242" spans="1:11" s="13" customFormat="1" ht="18.75">
      <c r="A242" s="53"/>
      <c r="E242" s="120"/>
      <c r="F242" s="120"/>
      <c r="G242" s="120"/>
      <c r="H242" s="120"/>
      <c r="I242" s="120"/>
      <c r="K242" s="78"/>
    </row>
    <row r="243" spans="1:11" s="13" customFormat="1" ht="18.75">
      <c r="A243" s="53"/>
      <c r="E243" s="120"/>
      <c r="F243" s="120"/>
      <c r="G243" s="120"/>
      <c r="H243" s="120"/>
      <c r="I243" s="120"/>
      <c r="K243" s="78"/>
    </row>
    <row r="244" spans="1:11" s="13" customFormat="1" ht="18.75">
      <c r="A244" s="53"/>
      <c r="E244" s="120"/>
      <c r="F244" s="120"/>
      <c r="G244" s="120"/>
      <c r="H244" s="120"/>
      <c r="I244" s="120"/>
      <c r="K244" s="78"/>
    </row>
    <row r="245" spans="1:11" s="13" customFormat="1" ht="18.75">
      <c r="A245" s="53"/>
      <c r="E245" s="120"/>
      <c r="F245" s="120"/>
      <c r="G245" s="120"/>
      <c r="H245" s="120"/>
      <c r="I245" s="120"/>
      <c r="K245" s="78"/>
    </row>
    <row r="246" spans="1:11" s="13" customFormat="1" ht="18.75">
      <c r="A246" s="53"/>
      <c r="E246" s="120"/>
      <c r="F246" s="120"/>
      <c r="G246" s="120"/>
      <c r="H246" s="120"/>
      <c r="I246" s="120"/>
      <c r="K246" s="78"/>
    </row>
    <row r="247" spans="1:11" s="13" customFormat="1" ht="18.75">
      <c r="A247" s="53"/>
      <c r="E247" s="120"/>
      <c r="F247" s="120"/>
      <c r="G247" s="120"/>
      <c r="H247" s="120"/>
      <c r="I247" s="120"/>
      <c r="K247" s="78"/>
    </row>
    <row r="248" spans="1:11" s="13" customFormat="1" ht="18.75">
      <c r="A248" s="53"/>
      <c r="E248" s="120"/>
      <c r="F248" s="120"/>
      <c r="G248" s="120"/>
      <c r="H248" s="120"/>
      <c r="I248" s="120"/>
      <c r="K248" s="78"/>
    </row>
    <row r="249" spans="1:11" s="13" customFormat="1" ht="18.75">
      <c r="A249" s="53"/>
      <c r="E249" s="120"/>
      <c r="F249" s="120"/>
      <c r="G249" s="120"/>
      <c r="H249" s="120"/>
      <c r="I249" s="120"/>
      <c r="K249" s="78"/>
    </row>
    <row r="250" spans="1:11" s="13" customFormat="1" ht="18.75">
      <c r="A250" s="53"/>
      <c r="E250" s="120"/>
      <c r="F250" s="120"/>
      <c r="G250" s="120"/>
      <c r="H250" s="120"/>
      <c r="I250" s="120"/>
      <c r="K250" s="78"/>
    </row>
    <row r="251" spans="1:11" s="13" customFormat="1" ht="18.75">
      <c r="A251" s="53"/>
      <c r="E251" s="120"/>
      <c r="F251" s="120"/>
      <c r="G251" s="120"/>
      <c r="H251" s="120"/>
      <c r="I251" s="120"/>
      <c r="K251" s="78"/>
    </row>
    <row r="252" spans="1:11" s="13" customFormat="1" ht="18.75">
      <c r="A252" s="53"/>
      <c r="E252" s="120"/>
      <c r="F252" s="120"/>
      <c r="G252" s="120"/>
      <c r="H252" s="120"/>
      <c r="I252" s="120"/>
      <c r="K252" s="78"/>
    </row>
    <row r="253" spans="1:11" s="13" customFormat="1" ht="18.75">
      <c r="A253" s="53"/>
      <c r="E253" s="120"/>
      <c r="F253" s="120"/>
      <c r="G253" s="120"/>
      <c r="H253" s="120"/>
      <c r="I253" s="120"/>
      <c r="K253" s="78"/>
    </row>
    <row r="254" spans="1:11" s="13" customFormat="1" ht="18.75">
      <c r="A254" s="53"/>
      <c r="E254" s="120"/>
      <c r="F254" s="120"/>
      <c r="G254" s="120"/>
      <c r="H254" s="120"/>
      <c r="I254" s="120"/>
      <c r="K254" s="78"/>
    </row>
    <row r="255" spans="1:11" s="13" customFormat="1" ht="18.75">
      <c r="A255" s="53"/>
      <c r="E255" s="120"/>
      <c r="F255" s="120"/>
      <c r="G255" s="120"/>
      <c r="H255" s="120"/>
      <c r="I255" s="120"/>
      <c r="K255" s="78"/>
    </row>
    <row r="256" spans="1:11" s="13" customFormat="1" ht="18.75">
      <c r="A256" s="53"/>
      <c r="E256" s="120"/>
      <c r="F256" s="120"/>
      <c r="G256" s="120"/>
      <c r="H256" s="120"/>
      <c r="I256" s="120"/>
      <c r="K256" s="78"/>
    </row>
    <row r="257" spans="1:11" s="13" customFormat="1" ht="18.75">
      <c r="A257" s="53"/>
      <c r="E257" s="120"/>
      <c r="F257" s="120"/>
      <c r="G257" s="120"/>
      <c r="H257" s="120"/>
      <c r="I257" s="120"/>
      <c r="K257" s="78"/>
    </row>
    <row r="258" spans="1:11" s="13" customFormat="1" ht="18.75">
      <c r="A258" s="53"/>
      <c r="E258" s="120"/>
      <c r="F258" s="120"/>
      <c r="G258" s="120"/>
      <c r="H258" s="120"/>
      <c r="I258" s="120"/>
      <c r="K258" s="78"/>
    </row>
    <row r="259" spans="1:11" s="13" customFormat="1" ht="18.75">
      <c r="A259" s="53"/>
      <c r="E259" s="120"/>
      <c r="F259" s="120"/>
      <c r="G259" s="120"/>
      <c r="H259" s="120"/>
      <c r="I259" s="120"/>
      <c r="K259" s="78"/>
    </row>
    <row r="260" spans="1:11" s="13" customFormat="1" ht="18.75">
      <c r="A260" s="53"/>
      <c r="E260" s="120"/>
      <c r="F260" s="120"/>
      <c r="G260" s="120"/>
      <c r="H260" s="120"/>
      <c r="I260" s="120"/>
      <c r="K260" s="78"/>
    </row>
    <row r="261" spans="1:11" s="13" customFormat="1" ht="18.75">
      <c r="A261" s="53"/>
      <c r="E261" s="120"/>
      <c r="F261" s="120"/>
      <c r="G261" s="120"/>
      <c r="H261" s="120"/>
      <c r="I261" s="120"/>
      <c r="K261" s="78"/>
    </row>
    <row r="262" spans="1:11" s="13" customFormat="1" ht="18.75">
      <c r="A262" s="53"/>
      <c r="E262" s="120"/>
      <c r="F262" s="120"/>
      <c r="G262" s="120"/>
      <c r="H262" s="120"/>
      <c r="I262" s="120"/>
      <c r="K262" s="78"/>
    </row>
    <row r="263" spans="1:11" s="13" customFormat="1" ht="18.75">
      <c r="A263" s="53"/>
      <c r="E263" s="120"/>
      <c r="F263" s="120"/>
      <c r="G263" s="120"/>
      <c r="H263" s="120"/>
      <c r="I263" s="120"/>
      <c r="K263" s="78"/>
    </row>
    <row r="264" spans="1:11" s="13" customFormat="1" ht="18.75">
      <c r="A264" s="53"/>
      <c r="E264" s="120"/>
      <c r="F264" s="120"/>
      <c r="G264" s="120"/>
      <c r="H264" s="120"/>
      <c r="I264" s="120"/>
      <c r="K264" s="78"/>
    </row>
    <row r="265" spans="1:11" s="13" customFormat="1" ht="18.75">
      <c r="A265" s="53"/>
      <c r="E265" s="120"/>
      <c r="F265" s="120"/>
      <c r="G265" s="120"/>
      <c r="H265" s="120"/>
      <c r="I265" s="120"/>
      <c r="K265" s="78"/>
    </row>
    <row r="266" spans="1:11" s="13" customFormat="1" ht="18.75">
      <c r="A266" s="53"/>
      <c r="E266" s="120"/>
      <c r="F266" s="120"/>
      <c r="G266" s="120"/>
      <c r="H266" s="120"/>
      <c r="I266" s="120"/>
      <c r="K266" s="78"/>
    </row>
    <row r="267" spans="1:11" s="13" customFormat="1" ht="18.75">
      <c r="A267" s="53"/>
      <c r="E267" s="120"/>
      <c r="F267" s="120"/>
      <c r="G267" s="120"/>
      <c r="H267" s="120"/>
      <c r="I267" s="120"/>
      <c r="K267" s="78"/>
    </row>
    <row r="268" spans="1:11" s="13" customFormat="1" ht="18.75">
      <c r="A268" s="53"/>
      <c r="E268" s="120"/>
      <c r="F268" s="120"/>
      <c r="G268" s="120"/>
      <c r="H268" s="120"/>
      <c r="I268" s="120"/>
      <c r="K268" s="78"/>
    </row>
    <row r="269" spans="1:11" s="13" customFormat="1" ht="18.75">
      <c r="A269" s="53"/>
      <c r="E269" s="120"/>
      <c r="F269" s="120"/>
      <c r="G269" s="120"/>
      <c r="H269" s="120"/>
      <c r="I269" s="120"/>
      <c r="K269" s="78"/>
    </row>
    <row r="270" spans="1:11" s="13" customFormat="1" ht="18.75">
      <c r="A270" s="53"/>
      <c r="E270" s="120"/>
      <c r="F270" s="120"/>
      <c r="G270" s="120"/>
      <c r="H270" s="120"/>
      <c r="I270" s="120"/>
      <c r="K270" s="78"/>
    </row>
    <row r="271" spans="1:11" s="13" customFormat="1" ht="18.75">
      <c r="A271" s="53"/>
      <c r="E271" s="120"/>
      <c r="F271" s="120"/>
      <c r="G271" s="120"/>
      <c r="H271" s="120"/>
      <c r="I271" s="120"/>
      <c r="K271" s="78"/>
    </row>
    <row r="272" spans="1:11" s="13" customFormat="1" ht="18.75">
      <c r="A272" s="53"/>
      <c r="E272" s="120"/>
      <c r="F272" s="120"/>
      <c r="G272" s="120"/>
      <c r="H272" s="120"/>
      <c r="I272" s="120"/>
      <c r="K272" s="78"/>
    </row>
    <row r="273" spans="1:11" s="13" customFormat="1" ht="18.75">
      <c r="A273" s="53"/>
      <c r="E273" s="120"/>
      <c r="F273" s="120"/>
      <c r="G273" s="120"/>
      <c r="H273" s="120"/>
      <c r="I273" s="120"/>
      <c r="K273" s="78"/>
    </row>
    <row r="274" spans="1:11" s="13" customFormat="1" ht="18.75">
      <c r="A274" s="53"/>
      <c r="E274" s="120"/>
      <c r="F274" s="120"/>
      <c r="G274" s="120"/>
      <c r="H274" s="120"/>
      <c r="I274" s="120"/>
      <c r="K274" s="78"/>
    </row>
    <row r="275" spans="1:11" s="13" customFormat="1" ht="18.75">
      <c r="A275" s="53"/>
      <c r="E275" s="120"/>
      <c r="F275" s="120"/>
      <c r="G275" s="120"/>
      <c r="H275" s="120"/>
      <c r="I275" s="120"/>
      <c r="K275" s="78"/>
    </row>
    <row r="276" spans="1:11" s="13" customFormat="1" ht="18.75">
      <c r="A276" s="53"/>
      <c r="E276" s="120"/>
      <c r="F276" s="120"/>
      <c r="G276" s="120"/>
      <c r="H276" s="120"/>
      <c r="I276" s="120"/>
      <c r="K276" s="78"/>
    </row>
    <row r="277" spans="1:11" s="13" customFormat="1" ht="18.75">
      <c r="A277" s="53"/>
      <c r="E277" s="120"/>
      <c r="F277" s="120"/>
      <c r="G277" s="120"/>
      <c r="H277" s="120"/>
      <c r="I277" s="120"/>
      <c r="K277" s="78"/>
    </row>
    <row r="278" spans="1:11" s="13" customFormat="1" ht="18.75">
      <c r="A278" s="53"/>
      <c r="E278" s="120"/>
      <c r="F278" s="120"/>
      <c r="G278" s="120"/>
      <c r="H278" s="120"/>
      <c r="I278" s="120"/>
      <c r="K278" s="78"/>
    </row>
    <row r="279" spans="1:11" s="13" customFormat="1" ht="18.75">
      <c r="A279" s="53"/>
      <c r="E279" s="120"/>
      <c r="F279" s="120"/>
      <c r="G279" s="120"/>
      <c r="H279" s="120"/>
      <c r="I279" s="120"/>
      <c r="K279" s="78"/>
    </row>
    <row r="280" spans="1:11" s="13" customFormat="1" ht="18.75">
      <c r="A280" s="53"/>
      <c r="E280" s="120"/>
      <c r="F280" s="120"/>
      <c r="G280" s="120"/>
      <c r="H280" s="120"/>
      <c r="I280" s="120"/>
      <c r="K280" s="78"/>
    </row>
    <row r="281" spans="1:11" s="13" customFormat="1" ht="18.75">
      <c r="A281" s="53"/>
      <c r="E281" s="120"/>
      <c r="F281" s="120"/>
      <c r="G281" s="120"/>
      <c r="H281" s="120"/>
      <c r="I281" s="120"/>
      <c r="K281" s="78"/>
    </row>
    <row r="282" spans="1:11" s="13" customFormat="1" ht="18.75">
      <c r="A282" s="53"/>
      <c r="E282" s="120"/>
      <c r="F282" s="120"/>
      <c r="G282" s="120"/>
      <c r="H282" s="120"/>
      <c r="I282" s="120"/>
      <c r="K282" s="78"/>
    </row>
    <row r="283" spans="1:11" s="13" customFormat="1" ht="18.75">
      <c r="A283" s="53"/>
      <c r="E283" s="120"/>
      <c r="F283" s="120"/>
      <c r="G283" s="120"/>
      <c r="H283" s="120"/>
      <c r="I283" s="120"/>
      <c r="K283" s="78"/>
    </row>
    <row r="284" spans="1:11" s="13" customFormat="1" ht="18.75">
      <c r="A284" s="53"/>
      <c r="E284" s="120"/>
      <c r="F284" s="120"/>
      <c r="G284" s="120"/>
      <c r="H284" s="120"/>
      <c r="I284" s="120"/>
      <c r="K284" s="78"/>
    </row>
    <row r="285" spans="1:11" s="13" customFormat="1" ht="18.75">
      <c r="A285" s="53"/>
      <c r="E285" s="120"/>
      <c r="F285" s="120"/>
      <c r="G285" s="120"/>
      <c r="H285" s="120"/>
      <c r="I285" s="120"/>
      <c r="K285" s="78"/>
    </row>
    <row r="286" spans="1:11" s="13" customFormat="1" ht="18.75">
      <c r="A286" s="53"/>
      <c r="E286" s="120"/>
      <c r="F286" s="120"/>
      <c r="G286" s="120"/>
      <c r="H286" s="120"/>
      <c r="I286" s="120"/>
      <c r="K286" s="78"/>
    </row>
    <row r="287" spans="1:11" s="13" customFormat="1" ht="18.75">
      <c r="A287" s="53"/>
      <c r="E287" s="120"/>
      <c r="F287" s="120"/>
      <c r="G287" s="120"/>
      <c r="H287" s="120"/>
      <c r="I287" s="120"/>
      <c r="K287" s="78"/>
    </row>
    <row r="288" spans="1:11" s="13" customFormat="1" ht="18.75">
      <c r="A288" s="53"/>
      <c r="E288" s="120"/>
      <c r="F288" s="120"/>
      <c r="G288" s="120"/>
      <c r="H288" s="120"/>
      <c r="I288" s="120"/>
      <c r="K288" s="78"/>
    </row>
    <row r="289" spans="1:11" s="13" customFormat="1" ht="18.75">
      <c r="A289" s="53"/>
      <c r="E289" s="120"/>
      <c r="F289" s="120"/>
      <c r="G289" s="120"/>
      <c r="H289" s="120"/>
      <c r="I289" s="120"/>
      <c r="K289" s="78"/>
    </row>
    <row r="290" spans="1:11" s="13" customFormat="1" ht="18.75">
      <c r="A290" s="53"/>
      <c r="E290" s="120"/>
      <c r="F290" s="120"/>
      <c r="G290" s="120"/>
      <c r="H290" s="120"/>
      <c r="I290" s="120"/>
      <c r="K290" s="78"/>
    </row>
    <row r="291" spans="1:11" s="13" customFormat="1" ht="18.75">
      <c r="A291" s="53"/>
      <c r="E291" s="120"/>
      <c r="F291" s="120"/>
      <c r="G291" s="120"/>
      <c r="H291" s="120"/>
      <c r="I291" s="120"/>
      <c r="K291" s="78"/>
    </row>
    <row r="292" spans="1:11" s="13" customFormat="1" ht="18.75">
      <c r="A292" s="53"/>
      <c r="E292" s="120"/>
      <c r="F292" s="120"/>
      <c r="G292" s="120"/>
      <c r="H292" s="120"/>
      <c r="I292" s="120"/>
      <c r="K292" s="78"/>
    </row>
    <row r="293" spans="1:11" s="13" customFormat="1" ht="18.75">
      <c r="A293" s="53"/>
      <c r="E293" s="120"/>
      <c r="F293" s="120"/>
      <c r="G293" s="120"/>
      <c r="H293" s="120"/>
      <c r="I293" s="120"/>
      <c r="K293" s="78"/>
    </row>
    <row r="294" spans="1:11" s="13" customFormat="1" ht="18.75">
      <c r="A294" s="53"/>
      <c r="E294" s="120"/>
      <c r="F294" s="120"/>
      <c r="G294" s="120"/>
      <c r="H294" s="120"/>
      <c r="I294" s="120"/>
      <c r="K294" s="78"/>
    </row>
    <row r="295" spans="1:11" s="13" customFormat="1" ht="18.75">
      <c r="A295" s="53"/>
      <c r="E295" s="120"/>
      <c r="F295" s="120"/>
      <c r="G295" s="120"/>
      <c r="H295" s="120"/>
      <c r="I295" s="120"/>
      <c r="K295" s="78"/>
    </row>
    <row r="296" spans="1:11" s="13" customFormat="1" ht="18.75">
      <c r="A296" s="53"/>
      <c r="E296" s="120"/>
      <c r="F296" s="120"/>
      <c r="G296" s="120"/>
      <c r="H296" s="120"/>
      <c r="I296" s="120"/>
      <c r="K296" s="78"/>
    </row>
    <row r="297" spans="1:11" s="13" customFormat="1" ht="18.75">
      <c r="A297" s="53"/>
      <c r="E297" s="120"/>
      <c r="F297" s="120"/>
      <c r="G297" s="120"/>
      <c r="H297" s="120"/>
      <c r="I297" s="120"/>
      <c r="K297" s="78"/>
    </row>
    <row r="298" spans="1:11" s="13" customFormat="1" ht="18.75">
      <c r="A298" s="53"/>
      <c r="E298" s="120"/>
      <c r="F298" s="120"/>
      <c r="G298" s="120"/>
      <c r="H298" s="120"/>
      <c r="I298" s="120"/>
      <c r="K298" s="78"/>
    </row>
    <row r="299" spans="1:11" s="13" customFormat="1" ht="18.75">
      <c r="A299" s="53"/>
      <c r="E299" s="120"/>
      <c r="F299" s="120"/>
      <c r="G299" s="120"/>
      <c r="H299" s="120"/>
      <c r="I299" s="120"/>
      <c r="K299" s="78"/>
    </row>
    <row r="300" spans="1:11" s="13" customFormat="1" ht="18.75">
      <c r="A300" s="53"/>
      <c r="E300" s="120"/>
      <c r="F300" s="120"/>
      <c r="G300" s="120"/>
      <c r="H300" s="120"/>
      <c r="I300" s="120"/>
      <c r="K300" s="78"/>
    </row>
    <row r="301" spans="1:11" s="13" customFormat="1" ht="18.75">
      <c r="A301" s="53"/>
      <c r="E301" s="120"/>
      <c r="F301" s="120"/>
      <c r="G301" s="120"/>
      <c r="H301" s="120"/>
      <c r="I301" s="120"/>
      <c r="K301" s="78"/>
    </row>
    <row r="302" spans="1:11" s="13" customFormat="1" ht="18.75">
      <c r="A302" s="53"/>
      <c r="E302" s="120"/>
      <c r="F302" s="120"/>
      <c r="G302" s="120"/>
      <c r="H302" s="120"/>
      <c r="I302" s="120"/>
      <c r="K302" s="78"/>
    </row>
    <row r="303" spans="1:11" s="13" customFormat="1" ht="18.75">
      <c r="A303" s="53"/>
      <c r="E303" s="120"/>
      <c r="F303" s="120"/>
      <c r="G303" s="120"/>
      <c r="H303" s="120"/>
      <c r="I303" s="120"/>
      <c r="K303" s="78"/>
    </row>
    <row r="304" spans="1:11" s="13" customFormat="1" ht="18.75">
      <c r="A304" s="53"/>
      <c r="E304" s="120"/>
      <c r="F304" s="120"/>
      <c r="G304" s="120"/>
      <c r="H304" s="120"/>
      <c r="I304" s="120"/>
      <c r="K304" s="78"/>
    </row>
    <row r="305" spans="1:11" s="13" customFormat="1" ht="18.75">
      <c r="A305" s="53"/>
      <c r="E305" s="120"/>
      <c r="F305" s="120"/>
      <c r="G305" s="120"/>
      <c r="H305" s="120"/>
      <c r="I305" s="120"/>
      <c r="K305" s="78"/>
    </row>
    <row r="306" spans="1:11" s="13" customFormat="1" ht="18.75">
      <c r="A306" s="53"/>
      <c r="E306" s="120"/>
      <c r="F306" s="120"/>
      <c r="G306" s="120"/>
      <c r="H306" s="120"/>
      <c r="I306" s="120"/>
      <c r="K306" s="78"/>
    </row>
    <row r="307" spans="1:11" s="13" customFormat="1" ht="18.75">
      <c r="A307" s="53"/>
      <c r="E307" s="120"/>
      <c r="F307" s="120"/>
      <c r="G307" s="120"/>
      <c r="H307" s="120"/>
      <c r="I307" s="120"/>
      <c r="K307" s="78"/>
    </row>
    <row r="308" spans="1:11" s="13" customFormat="1" ht="18.75">
      <c r="A308" s="53"/>
      <c r="E308" s="120"/>
      <c r="F308" s="120"/>
      <c r="G308" s="120"/>
      <c r="H308" s="120"/>
      <c r="I308" s="120"/>
      <c r="K308" s="78"/>
    </row>
    <row r="309" spans="1:11" s="13" customFormat="1" ht="18.75">
      <c r="A309" s="53"/>
      <c r="E309" s="120"/>
      <c r="F309" s="120"/>
      <c r="G309" s="120"/>
      <c r="H309" s="120"/>
      <c r="I309" s="120"/>
      <c r="K309" s="78"/>
    </row>
    <row r="310" spans="1:11" s="13" customFormat="1" ht="18.75">
      <c r="A310" s="53"/>
      <c r="E310" s="120"/>
      <c r="F310" s="120"/>
      <c r="G310" s="120"/>
      <c r="H310" s="120"/>
      <c r="I310" s="120"/>
      <c r="K310" s="78"/>
    </row>
    <row r="311" spans="1:11" s="13" customFormat="1" ht="18.75">
      <c r="A311" s="53"/>
      <c r="E311" s="120"/>
      <c r="F311" s="120"/>
      <c r="G311" s="120"/>
      <c r="H311" s="120"/>
      <c r="I311" s="120"/>
      <c r="K311" s="78"/>
    </row>
    <row r="312" spans="1:11" s="13" customFormat="1" ht="18.75">
      <c r="A312" s="53"/>
      <c r="E312" s="120"/>
      <c r="F312" s="120"/>
      <c r="G312" s="120"/>
      <c r="H312" s="120"/>
      <c r="I312" s="120"/>
      <c r="K312" s="78"/>
    </row>
    <row r="313" spans="1:11" s="13" customFormat="1" ht="18.75">
      <c r="A313" s="53"/>
      <c r="E313" s="120"/>
      <c r="F313" s="120"/>
      <c r="G313" s="120"/>
      <c r="H313" s="120"/>
      <c r="I313" s="120"/>
      <c r="K313" s="78"/>
    </row>
    <row r="314" spans="1:11" s="13" customFormat="1" ht="18.75">
      <c r="A314" s="53"/>
      <c r="E314" s="120"/>
      <c r="F314" s="120"/>
      <c r="G314" s="120"/>
      <c r="H314" s="120"/>
      <c r="I314" s="120"/>
      <c r="K314" s="78"/>
    </row>
    <row r="315" spans="1:11" s="13" customFormat="1" ht="18.75">
      <c r="A315" s="53"/>
      <c r="E315" s="120"/>
      <c r="F315" s="120"/>
      <c r="G315" s="120"/>
      <c r="H315" s="120"/>
      <c r="I315" s="120"/>
      <c r="K315" s="78"/>
    </row>
    <row r="316" spans="1:11" s="13" customFormat="1" ht="18.75">
      <c r="A316" s="53"/>
      <c r="E316" s="120"/>
      <c r="F316" s="120"/>
      <c r="G316" s="120"/>
      <c r="H316" s="120"/>
      <c r="I316" s="120"/>
      <c r="K316" s="78"/>
    </row>
    <row r="317" spans="1:11" s="13" customFormat="1" ht="18.75">
      <c r="A317" s="53"/>
      <c r="E317" s="120"/>
      <c r="F317" s="120"/>
      <c r="G317" s="120"/>
      <c r="H317" s="120"/>
      <c r="I317" s="120"/>
      <c r="K317" s="78"/>
    </row>
    <row r="318" spans="1:11" s="13" customFormat="1" ht="18.75">
      <c r="A318" s="53"/>
      <c r="E318" s="120"/>
      <c r="F318" s="120"/>
      <c r="G318" s="120"/>
      <c r="H318" s="120"/>
      <c r="I318" s="120"/>
      <c r="K318" s="78"/>
    </row>
    <row r="319" spans="1:11" s="13" customFormat="1" ht="18.75">
      <c r="A319" s="53"/>
      <c r="E319" s="120"/>
      <c r="F319" s="120"/>
      <c r="G319" s="120"/>
      <c r="H319" s="120"/>
      <c r="I319" s="120"/>
      <c r="K319" s="78"/>
    </row>
    <row r="320" spans="1:11" s="13" customFormat="1" ht="18.75">
      <c r="A320" s="53"/>
      <c r="E320" s="120"/>
      <c r="F320" s="120"/>
      <c r="G320" s="120"/>
      <c r="H320" s="120"/>
      <c r="I320" s="120"/>
      <c r="K320" s="78"/>
    </row>
    <row r="321" spans="1:11" s="13" customFormat="1" ht="18.75">
      <c r="A321" s="53"/>
      <c r="E321" s="120"/>
      <c r="F321" s="120"/>
      <c r="G321" s="120"/>
      <c r="H321" s="120"/>
      <c r="I321" s="120"/>
      <c r="K321" s="78"/>
    </row>
    <row r="322" spans="1:11" s="13" customFormat="1" ht="18.75">
      <c r="A322" s="53"/>
      <c r="E322" s="120"/>
      <c r="F322" s="120"/>
      <c r="G322" s="120"/>
      <c r="H322" s="120"/>
      <c r="I322" s="120"/>
      <c r="K322" s="78"/>
    </row>
    <row r="323" spans="1:11" s="13" customFormat="1" ht="18.75">
      <c r="A323" s="53"/>
      <c r="E323" s="120"/>
      <c r="F323" s="120"/>
      <c r="G323" s="120"/>
      <c r="H323" s="120"/>
      <c r="I323" s="120"/>
      <c r="K323" s="78"/>
    </row>
    <row r="324" spans="10:24" ht="18.75">
      <c r="J324" s="13"/>
      <c r="K324" s="78"/>
      <c r="L324" s="13"/>
      <c r="M324" s="13"/>
      <c r="N324" s="13"/>
      <c r="O324" s="13"/>
      <c r="P324" s="13"/>
      <c r="Q324" s="13"/>
      <c r="R324" s="13"/>
      <c r="S324" s="13"/>
      <c r="T324" s="13"/>
      <c r="U324" s="13"/>
      <c r="V324" s="13"/>
      <c r="W324" s="13"/>
      <c r="X324" s="13"/>
    </row>
    <row r="325" spans="10:24" ht="18.75">
      <c r="J325" s="13"/>
      <c r="K325" s="78"/>
      <c r="L325" s="13"/>
      <c r="M325" s="13"/>
      <c r="N325" s="13"/>
      <c r="O325" s="13"/>
      <c r="P325" s="13"/>
      <c r="Q325" s="13"/>
      <c r="R325" s="13"/>
      <c r="S325" s="13"/>
      <c r="T325" s="13"/>
      <c r="U325" s="13"/>
      <c r="V325" s="13"/>
      <c r="W325" s="13"/>
      <c r="X325" s="13"/>
    </row>
    <row r="326" spans="10:24" ht="18.75">
      <c r="J326" s="13"/>
      <c r="K326" s="78"/>
      <c r="L326" s="13"/>
      <c r="M326" s="13"/>
      <c r="N326" s="13"/>
      <c r="O326" s="13"/>
      <c r="P326" s="13"/>
      <c r="Q326" s="13"/>
      <c r="R326" s="13"/>
      <c r="S326" s="13"/>
      <c r="T326" s="13"/>
      <c r="U326" s="13"/>
      <c r="V326" s="13"/>
      <c r="W326" s="13"/>
      <c r="X326" s="13"/>
    </row>
    <row r="327" spans="10:22" ht="18.75">
      <c r="J327" s="13"/>
      <c r="P327" s="13"/>
      <c r="Q327" s="13"/>
      <c r="R327" s="13"/>
      <c r="S327" s="13"/>
      <c r="T327" s="13"/>
      <c r="U327" s="13"/>
      <c r="V327" s="13"/>
    </row>
    <row r="328" spans="10:22" ht="18.75">
      <c r="J328" s="13"/>
      <c r="P328" s="13"/>
      <c r="Q328" s="13"/>
      <c r="R328" s="13"/>
      <c r="S328" s="13"/>
      <c r="T328" s="13"/>
      <c r="U328" s="13"/>
      <c r="V328" s="13"/>
    </row>
    <row r="329" spans="16:17" ht="18.75">
      <c r="P329" s="13"/>
      <c r="Q329" s="13"/>
    </row>
    <row r="330" spans="16:17" ht="18.75">
      <c r="P330" s="13"/>
      <c r="Q330" s="13"/>
    </row>
    <row r="331" spans="16:17" ht="18.75">
      <c r="P331" s="13"/>
      <c r="Q331" s="13"/>
    </row>
  </sheetData>
  <sheetProtection/>
  <mergeCells count="38">
    <mergeCell ref="G11:H11"/>
    <mergeCell ref="B13:E13"/>
    <mergeCell ref="H13:I13"/>
    <mergeCell ref="B14:G14"/>
    <mergeCell ref="B24:E24"/>
    <mergeCell ref="B15:E15"/>
    <mergeCell ref="B16:E16"/>
    <mergeCell ref="B17:E17"/>
    <mergeCell ref="B18:E18"/>
    <mergeCell ref="B19:E19"/>
    <mergeCell ref="B20:E20"/>
    <mergeCell ref="B25:E25"/>
    <mergeCell ref="A28:I28"/>
    <mergeCell ref="B30:B31"/>
    <mergeCell ref="E30:E31"/>
    <mergeCell ref="A27:I27"/>
    <mergeCell ref="F20:H20"/>
    <mergeCell ref="B21:E21"/>
    <mergeCell ref="F21:H21"/>
    <mergeCell ref="B22:E22"/>
    <mergeCell ref="B23:I23"/>
    <mergeCell ref="M115:M117"/>
    <mergeCell ref="O115:O117"/>
    <mergeCell ref="M118:M120"/>
    <mergeCell ref="O118:O120"/>
    <mergeCell ref="A107:B107"/>
    <mergeCell ref="M109:M111"/>
    <mergeCell ref="O109:O111"/>
    <mergeCell ref="M112:M114"/>
    <mergeCell ref="O112:O114"/>
    <mergeCell ref="C114:E114"/>
    <mergeCell ref="A30:A31"/>
    <mergeCell ref="C30:D30"/>
    <mergeCell ref="F30:I30"/>
    <mergeCell ref="J30:J31"/>
    <mergeCell ref="C115:E115"/>
    <mergeCell ref="G115:I115"/>
    <mergeCell ref="G114:I114"/>
  </mergeCells>
  <printOptions/>
  <pageMargins left="0.3937007874015748" right="0.1968503937007874" top="0.3937007874015748" bottom="0.3937007874015748" header="0.1968503937007874" footer="0.1968503937007874"/>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L324"/>
  <sheetViews>
    <sheetView zoomScalePageLayoutView="0" workbookViewId="0" topLeftCell="A79">
      <selection activeCell="G82" sqref="G82"/>
    </sheetView>
  </sheetViews>
  <sheetFormatPr defaultColWidth="9.140625" defaultRowHeight="15"/>
  <cols>
    <col min="1" max="1" width="71.140625" style="307" customWidth="1"/>
    <col min="2" max="2" width="7.8515625" style="120" customWidth="1"/>
    <col min="3" max="3" width="14.28125" style="120" customWidth="1"/>
    <col min="4" max="4" width="14.140625" style="120" customWidth="1"/>
    <col min="5" max="5" width="1.421875" style="307" hidden="1" customWidth="1"/>
    <col min="6" max="6" width="15.7109375" style="307" customWidth="1"/>
    <col min="7" max="7" width="17.7109375" style="307" customWidth="1"/>
    <col min="8" max="9" width="16.28125" style="307" customWidth="1"/>
    <col min="10" max="10" width="82.7109375" style="307" hidden="1" customWidth="1"/>
    <col min="11" max="11" width="9.140625" style="307" customWidth="1"/>
    <col min="12" max="12" width="9.7109375" style="307" bestFit="1" customWidth="1"/>
    <col min="13" max="16384" width="9.140625" style="307" customWidth="1"/>
  </cols>
  <sheetData>
    <row r="1" ht="18.75">
      <c r="F1" s="307" t="s">
        <v>60</v>
      </c>
    </row>
    <row r="2" ht="18.75">
      <c r="F2" s="307" t="s">
        <v>61</v>
      </c>
    </row>
    <row r="3" ht="18.75">
      <c r="F3" s="307" t="s">
        <v>965</v>
      </c>
    </row>
    <row r="4" ht="12" customHeight="1"/>
    <row r="5" spans="6:9" ht="18.75">
      <c r="F5" s="307" t="s">
        <v>62</v>
      </c>
      <c r="I5" s="307" t="s">
        <v>63</v>
      </c>
    </row>
    <row r="6" ht="12.75" customHeight="1"/>
    <row r="7" spans="2:9" ht="18.75">
      <c r="B7" s="466"/>
      <c r="C7" s="466"/>
      <c r="D7" s="466"/>
      <c r="E7" s="466"/>
      <c r="H7" s="409" t="s">
        <v>70</v>
      </c>
      <c r="I7" s="410"/>
    </row>
    <row r="8" spans="1:9" ht="69" customHeight="1">
      <c r="A8" s="347" t="s">
        <v>71</v>
      </c>
      <c r="B8" s="467" t="s">
        <v>72</v>
      </c>
      <c r="C8" s="467"/>
      <c r="D8" s="467"/>
      <c r="E8" s="467"/>
      <c r="F8" s="467"/>
      <c r="G8" s="97"/>
      <c r="H8" s="96" t="s">
        <v>73</v>
      </c>
      <c r="I8" s="303">
        <v>39007143</v>
      </c>
    </row>
    <row r="9" spans="1:9" ht="18.75" customHeight="1">
      <c r="A9" s="347" t="s">
        <v>74</v>
      </c>
      <c r="B9" s="468" t="s">
        <v>75</v>
      </c>
      <c r="C9" s="468"/>
      <c r="D9" s="468"/>
      <c r="E9" s="468"/>
      <c r="F9" s="98"/>
      <c r="G9" s="99"/>
      <c r="H9" s="96" t="s">
        <v>76</v>
      </c>
      <c r="I9" s="303">
        <v>150</v>
      </c>
    </row>
    <row r="10" spans="1:9" ht="18.75">
      <c r="A10" s="347" t="s">
        <v>77</v>
      </c>
      <c r="B10" s="415" t="s">
        <v>78</v>
      </c>
      <c r="C10" s="415"/>
      <c r="D10" s="415"/>
      <c r="E10" s="415"/>
      <c r="F10" s="98"/>
      <c r="G10" s="99"/>
      <c r="H10" s="96" t="s">
        <v>79</v>
      </c>
      <c r="I10" s="303">
        <v>2610600000</v>
      </c>
    </row>
    <row r="11" spans="1:9" ht="18.75">
      <c r="A11" s="347" t="s">
        <v>966</v>
      </c>
      <c r="B11" s="415"/>
      <c r="C11" s="415"/>
      <c r="D11" s="415"/>
      <c r="E11" s="415"/>
      <c r="F11" s="100"/>
      <c r="G11" s="97"/>
      <c r="H11" s="96" t="s">
        <v>81</v>
      </c>
      <c r="I11" s="303"/>
    </row>
    <row r="12" spans="1:9" ht="18.75">
      <c r="A12" s="347" t="s">
        <v>82</v>
      </c>
      <c r="B12" s="415"/>
      <c r="C12" s="415"/>
      <c r="D12" s="415"/>
      <c r="E12" s="415"/>
      <c r="F12" s="100"/>
      <c r="G12" s="97"/>
      <c r="H12" s="96" t="s">
        <v>83</v>
      </c>
      <c r="I12" s="303"/>
    </row>
    <row r="13" spans="1:9" ht="18.75">
      <c r="A13" s="347" t="s">
        <v>84</v>
      </c>
      <c r="B13" s="415"/>
      <c r="C13" s="415"/>
      <c r="D13" s="415"/>
      <c r="E13" s="415"/>
      <c r="F13" s="100"/>
      <c r="G13" s="101"/>
      <c r="H13" s="102" t="s">
        <v>85</v>
      </c>
      <c r="I13" s="303" t="s">
        <v>86</v>
      </c>
    </row>
    <row r="14" spans="1:9" ht="18.75">
      <c r="A14" s="347" t="s">
        <v>87</v>
      </c>
      <c r="B14" s="415"/>
      <c r="C14" s="415"/>
      <c r="D14" s="415"/>
      <c r="E14" s="415"/>
      <c r="F14" s="415" t="s">
        <v>88</v>
      </c>
      <c r="G14" s="415"/>
      <c r="H14" s="463"/>
      <c r="I14" s="305" t="s">
        <v>65</v>
      </c>
    </row>
    <row r="15" spans="1:9" ht="18.75">
      <c r="A15" s="347" t="s">
        <v>89</v>
      </c>
      <c r="B15" s="415" t="s">
        <v>90</v>
      </c>
      <c r="C15" s="415"/>
      <c r="D15" s="415"/>
      <c r="E15" s="415"/>
      <c r="F15" s="415" t="s">
        <v>91</v>
      </c>
      <c r="G15" s="415"/>
      <c r="H15" s="463"/>
      <c r="I15" s="103"/>
    </row>
    <row r="16" spans="1:9" ht="18.75">
      <c r="A16" s="347" t="s">
        <v>92</v>
      </c>
      <c r="B16" s="462">
        <v>220</v>
      </c>
      <c r="C16" s="462"/>
      <c r="D16" s="462"/>
      <c r="E16" s="462"/>
      <c r="F16" s="100"/>
      <c r="G16" s="100"/>
      <c r="H16" s="100"/>
      <c r="I16" s="97"/>
    </row>
    <row r="17" spans="1:9" ht="18.75">
      <c r="A17" s="347" t="s">
        <v>93</v>
      </c>
      <c r="B17" s="415" t="s">
        <v>94</v>
      </c>
      <c r="C17" s="415"/>
      <c r="D17" s="415"/>
      <c r="E17" s="415"/>
      <c r="F17" s="415"/>
      <c r="G17" s="415"/>
      <c r="H17" s="415"/>
      <c r="I17" s="463"/>
    </row>
    <row r="18" spans="1:9" ht="18.75">
      <c r="A18" s="347" t="s">
        <v>95</v>
      </c>
      <c r="B18" s="464" t="s">
        <v>96</v>
      </c>
      <c r="C18" s="464"/>
      <c r="D18" s="464"/>
      <c r="E18" s="464"/>
      <c r="F18" s="100"/>
      <c r="G18" s="100"/>
      <c r="H18" s="100"/>
      <c r="I18" s="97"/>
    </row>
    <row r="19" spans="1:9" ht="18.75">
      <c r="A19" s="347" t="s">
        <v>97</v>
      </c>
      <c r="B19" s="462" t="s">
        <v>98</v>
      </c>
      <c r="C19" s="462"/>
      <c r="D19" s="462"/>
      <c r="E19" s="462"/>
      <c r="F19" s="98"/>
      <c r="G19" s="98"/>
      <c r="H19" s="98"/>
      <c r="I19" s="99"/>
    </row>
    <row r="20" ht="3.75" customHeight="1"/>
    <row r="21" spans="1:9" ht="18.75">
      <c r="A21" s="465" t="s">
        <v>932</v>
      </c>
      <c r="B21" s="465"/>
      <c r="C21" s="465"/>
      <c r="D21" s="465"/>
      <c r="E21" s="465"/>
      <c r="F21" s="465"/>
      <c r="G21" s="465"/>
      <c r="H21" s="465"/>
      <c r="I21" s="465"/>
    </row>
    <row r="22" spans="1:10" ht="18.75">
      <c r="A22" s="454" t="s">
        <v>936</v>
      </c>
      <c r="B22" s="454"/>
      <c r="C22" s="454"/>
      <c r="D22" s="454"/>
      <c r="E22" s="454"/>
      <c r="F22" s="454"/>
      <c r="G22" s="454"/>
      <c r="H22" s="454"/>
      <c r="I22" s="454"/>
      <c r="J22" s="348"/>
    </row>
    <row r="23" spans="1:10" ht="18.75">
      <c r="A23" s="454" t="s">
        <v>967</v>
      </c>
      <c r="B23" s="454"/>
      <c r="C23" s="454"/>
      <c r="D23" s="454"/>
      <c r="E23" s="454"/>
      <c r="F23" s="454"/>
      <c r="G23" s="454"/>
      <c r="H23" s="454"/>
      <c r="I23" s="454"/>
      <c r="J23" s="348"/>
    </row>
    <row r="24" spans="1:10" ht="1.5" customHeight="1">
      <c r="A24" s="104"/>
      <c r="B24" s="104"/>
      <c r="C24" s="104"/>
      <c r="D24" s="104"/>
      <c r="E24" s="104"/>
      <c r="F24" s="104"/>
      <c r="G24" s="104"/>
      <c r="H24" s="104"/>
      <c r="I24" s="104"/>
      <c r="J24" s="348"/>
    </row>
    <row r="25" spans="1:10" ht="28.5" customHeight="1">
      <c r="A25" s="455" t="s">
        <v>100</v>
      </c>
      <c r="B25" s="457" t="s">
        <v>101</v>
      </c>
      <c r="C25" s="459" t="s">
        <v>938</v>
      </c>
      <c r="D25" s="460"/>
      <c r="E25" s="457" t="s">
        <v>104</v>
      </c>
      <c r="F25" s="461" t="s">
        <v>939</v>
      </c>
      <c r="G25" s="461"/>
      <c r="H25" s="461"/>
      <c r="I25" s="461"/>
      <c r="J25" s="449" t="s">
        <v>940</v>
      </c>
    </row>
    <row r="26" spans="1:10" ht="31.5">
      <c r="A26" s="456"/>
      <c r="B26" s="458"/>
      <c r="C26" s="304" t="s">
        <v>941</v>
      </c>
      <c r="D26" s="304" t="s">
        <v>942</v>
      </c>
      <c r="E26" s="458"/>
      <c r="F26" s="316" t="s">
        <v>943</v>
      </c>
      <c r="G26" s="316" t="s">
        <v>944</v>
      </c>
      <c r="H26" s="316" t="s">
        <v>945</v>
      </c>
      <c r="I26" s="316" t="s">
        <v>946</v>
      </c>
      <c r="J26" s="450"/>
    </row>
    <row r="27" spans="1:10" ht="18.75">
      <c r="A27" s="303">
        <v>1</v>
      </c>
      <c r="B27" s="305">
        <v>2</v>
      </c>
      <c r="C27" s="305">
        <v>3</v>
      </c>
      <c r="D27" s="305">
        <v>4</v>
      </c>
      <c r="E27" s="305">
        <v>5</v>
      </c>
      <c r="F27" s="305">
        <v>5</v>
      </c>
      <c r="G27" s="305">
        <v>6</v>
      </c>
      <c r="H27" s="305">
        <v>7</v>
      </c>
      <c r="I27" s="305">
        <v>8</v>
      </c>
      <c r="J27" s="305">
        <v>10</v>
      </c>
    </row>
    <row r="28" spans="1:10" ht="18.75">
      <c r="A28" s="112" t="s">
        <v>110</v>
      </c>
      <c r="B28" s="112"/>
      <c r="C28" s="112"/>
      <c r="D28" s="112"/>
      <c r="E28" s="112"/>
      <c r="F28" s="112"/>
      <c r="G28" s="112"/>
      <c r="H28" s="112"/>
      <c r="I28" s="113"/>
      <c r="J28" s="305"/>
    </row>
    <row r="29" spans="1:10" s="350" customFormat="1" ht="18.75" customHeight="1">
      <c r="A29" s="349" t="s">
        <v>111</v>
      </c>
      <c r="B29" s="112"/>
      <c r="C29" s="112"/>
      <c r="D29" s="112"/>
      <c r="E29" s="112"/>
      <c r="F29" s="112"/>
      <c r="G29" s="112"/>
      <c r="H29" s="112"/>
      <c r="I29" s="112"/>
      <c r="J29" s="113"/>
    </row>
    <row r="30" spans="1:10" s="350" customFormat="1" ht="37.5">
      <c r="A30" s="351" t="s">
        <v>112</v>
      </c>
      <c r="B30" s="352">
        <v>100</v>
      </c>
      <c r="C30" s="320">
        <f>-(C36+C55+C70+C81)-C32</f>
        <v>11436.410000000002</v>
      </c>
      <c r="D30" s="320">
        <f>-(D36+D55+D70+D79+D81+D89)-D32</f>
        <v>33600.03259</v>
      </c>
      <c r="E30" s="320">
        <f>-(E36+E55+E70+E81)-E32</f>
        <v>62086.40451418397</v>
      </c>
      <c r="F30" s="320">
        <f>-(F36+F55+F70+F79+F81+F89)-F32</f>
        <v>33600.03259</v>
      </c>
      <c r="G30" s="320">
        <f>-(G36+G55+G70+G81)-G32</f>
        <v>33275.06336</v>
      </c>
      <c r="H30" s="320">
        <f>-(H36+H55+H70+H81)-H32</f>
        <v>-872.7002400000033</v>
      </c>
      <c r="I30" s="320">
        <f>-(I36+I55+I70+I81)-I32</f>
        <v>-2718.321725816039</v>
      </c>
      <c r="J30" s="353" t="s">
        <v>947</v>
      </c>
    </row>
    <row r="31" spans="1:10" s="350" customFormat="1" ht="56.25">
      <c r="A31" s="23" t="s">
        <v>968</v>
      </c>
      <c r="B31" s="352">
        <v>110</v>
      </c>
      <c r="C31" s="320">
        <f>'[1]I. Фін план (2018)'!E36</f>
        <v>0</v>
      </c>
      <c r="D31" s="107">
        <f>'[1]Фін план (2019) 4'!F36</f>
        <v>553.72214</v>
      </c>
      <c r="E31" s="107">
        <f>SUM(F31:I31)</f>
        <v>1167.2638133132245</v>
      </c>
      <c r="F31" s="107">
        <f>D31</f>
        <v>553.72214</v>
      </c>
      <c r="G31" s="107">
        <f>G91</f>
        <v>331.234</v>
      </c>
      <c r="H31" s="107">
        <f>F31-G31</f>
        <v>222.48814</v>
      </c>
      <c r="I31" s="107">
        <f>G31*100/F31</f>
        <v>59.819533313224575</v>
      </c>
      <c r="J31" s="353" t="s">
        <v>949</v>
      </c>
    </row>
    <row r="32" spans="1:10" s="350" customFormat="1" ht="37.5">
      <c r="A32" s="351" t="s">
        <v>113</v>
      </c>
      <c r="B32" s="352">
        <v>120</v>
      </c>
      <c r="C32" s="320">
        <f aca="true" t="shared" si="0" ref="C32:I32">C33+C34+C35</f>
        <v>723.5</v>
      </c>
      <c r="D32" s="320">
        <f t="shared" si="0"/>
        <v>0</v>
      </c>
      <c r="E32" s="320">
        <f t="shared" si="0"/>
        <v>0</v>
      </c>
      <c r="F32" s="320">
        <f t="shared" si="0"/>
        <v>0</v>
      </c>
      <c r="G32" s="320">
        <f t="shared" si="0"/>
        <v>0</v>
      </c>
      <c r="H32" s="320">
        <f t="shared" si="0"/>
        <v>0</v>
      </c>
      <c r="I32" s="320">
        <f t="shared" si="0"/>
        <v>0</v>
      </c>
      <c r="J32" s="353"/>
    </row>
    <row r="33" spans="1:10" s="350" customFormat="1" ht="37.5">
      <c r="A33" s="354" t="s">
        <v>969</v>
      </c>
      <c r="B33" s="355">
        <v>121</v>
      </c>
      <c r="C33" s="320">
        <f>'[1]I. Фін план (2018)'!E38</f>
        <v>500</v>
      </c>
      <c r="D33" s="107">
        <f>'[1]Фін план (2019) 4'!F38</f>
        <v>0</v>
      </c>
      <c r="E33" s="107">
        <f>SUM(F33:I33)</f>
        <v>0</v>
      </c>
      <c r="F33" s="107">
        <v>0</v>
      </c>
      <c r="G33" s="107">
        <v>0</v>
      </c>
      <c r="H33" s="107">
        <v>0</v>
      </c>
      <c r="I33" s="107">
        <v>0</v>
      </c>
      <c r="J33" s="353"/>
    </row>
    <row r="34" spans="1:10" s="350" customFormat="1" ht="37.5">
      <c r="A34" s="354" t="s">
        <v>115</v>
      </c>
      <c r="B34" s="355">
        <v>122</v>
      </c>
      <c r="C34" s="320">
        <f>'[1]I. Фін план (2018)'!E39</f>
        <v>0</v>
      </c>
      <c r="D34" s="107">
        <f>'[1]Фін план (2019) 4'!F39</f>
        <v>0</v>
      </c>
      <c r="E34" s="107">
        <f>SUM(F34:I34)</f>
        <v>0</v>
      </c>
      <c r="F34" s="107">
        <v>0</v>
      </c>
      <c r="G34" s="107">
        <v>0</v>
      </c>
      <c r="H34" s="107">
        <v>0</v>
      </c>
      <c r="I34" s="107">
        <v>0</v>
      </c>
      <c r="J34" s="353"/>
    </row>
    <row r="35" spans="1:10" s="350" customFormat="1" ht="56.25">
      <c r="A35" s="354" t="s">
        <v>950</v>
      </c>
      <c r="B35" s="355">
        <v>123</v>
      </c>
      <c r="C35" s="320">
        <f>'[1]I. Фін план (2018)'!E40</f>
        <v>223.5</v>
      </c>
      <c r="D35" s="107">
        <f>'[1]Фін план (2019) 4'!F40</f>
        <v>0</v>
      </c>
      <c r="E35" s="107">
        <f>SUM(F35:I35)</f>
        <v>0</v>
      </c>
      <c r="F35" s="107">
        <v>0</v>
      </c>
      <c r="G35" s="107">
        <v>0</v>
      </c>
      <c r="H35" s="107">
        <v>0</v>
      </c>
      <c r="I35" s="107">
        <v>0</v>
      </c>
      <c r="J35" s="353" t="s">
        <v>951</v>
      </c>
    </row>
    <row r="36" spans="1:10" ht="37.5">
      <c r="A36" s="351" t="s">
        <v>116</v>
      </c>
      <c r="B36" s="352">
        <v>130</v>
      </c>
      <c r="C36" s="335">
        <f>C37+C40+C41+C46+SUM(C47:C54)</f>
        <v>-10087.04</v>
      </c>
      <c r="D36" s="335">
        <f aca="true" t="shared" si="1" ref="D36:I36">D37+D40+D41+D46+SUM(D47:D54)</f>
        <v>-27169.66331</v>
      </c>
      <c r="E36" s="335">
        <f t="shared" si="1"/>
        <v>-53072.65686739713</v>
      </c>
      <c r="F36" s="335">
        <f t="shared" si="1"/>
        <v>-27169.66331</v>
      </c>
      <c r="G36" s="335">
        <f t="shared" si="1"/>
        <v>-28035.013560000003</v>
      </c>
      <c r="H36" s="335">
        <f t="shared" si="1"/>
        <v>865.3502500000031</v>
      </c>
      <c r="I36" s="335">
        <f t="shared" si="1"/>
        <v>1266.6697526028752</v>
      </c>
      <c r="J36" s="353"/>
    </row>
    <row r="37" spans="1:10" s="357" customFormat="1" ht="18.75">
      <c r="A37" s="351" t="s">
        <v>117</v>
      </c>
      <c r="B37" s="305">
        <v>140</v>
      </c>
      <c r="C37" s="356">
        <f>SUM(C38:C39)</f>
        <v>-381</v>
      </c>
      <c r="D37" s="356">
        <f aca="true" t="shared" si="2" ref="D37:I37">SUM(D38:D39)</f>
        <v>-1451.8507</v>
      </c>
      <c r="E37" s="356">
        <f t="shared" si="2"/>
        <v>-2762.1984070344624</v>
      </c>
      <c r="F37" s="356">
        <f t="shared" si="2"/>
        <v>-1451.8507</v>
      </c>
      <c r="G37" s="356">
        <f t="shared" si="2"/>
        <v>-927.90906</v>
      </c>
      <c r="H37" s="356">
        <f t="shared" si="2"/>
        <v>-523.94164</v>
      </c>
      <c r="I37" s="356">
        <f t="shared" si="2"/>
        <v>141.50299296553726</v>
      </c>
      <c r="J37" s="353"/>
    </row>
    <row r="38" spans="1:10" s="357" customFormat="1" ht="18.75">
      <c r="A38" s="354" t="s">
        <v>118</v>
      </c>
      <c r="B38" s="358">
        <v>141</v>
      </c>
      <c r="C38" s="320">
        <f>'[1]I. Фін план (2018)'!E43</f>
        <v>-265</v>
      </c>
      <c r="D38" s="107">
        <f>'[1]Фін план (2019) 4'!F43</f>
        <v>-571.896</v>
      </c>
      <c r="E38" s="107">
        <f>SUM(F38:I38)</f>
        <v>-1040.8073489445633</v>
      </c>
      <c r="F38" s="107">
        <f>D38</f>
        <v>-571.896</v>
      </c>
      <c r="G38" s="107">
        <f>-(71230.01+107446.05+109706.23+300582.81)/1000</f>
        <v>-588.9651</v>
      </c>
      <c r="H38" s="107">
        <f>F38-G38</f>
        <v>17.06910000000005</v>
      </c>
      <c r="I38" s="107">
        <f>G38*100/F38</f>
        <v>102.98465105543666</v>
      </c>
      <c r="J38" s="353"/>
    </row>
    <row r="39" spans="1:10" s="357" customFormat="1" ht="56.25">
      <c r="A39" s="354" t="s">
        <v>119</v>
      </c>
      <c r="B39" s="358">
        <v>142</v>
      </c>
      <c r="C39" s="320">
        <f>'[1]I. Фін план (2018)'!E44</f>
        <v>-116</v>
      </c>
      <c r="D39" s="107">
        <f>'[1]Фін план (2019) 4'!F44</f>
        <v>-879.9547</v>
      </c>
      <c r="E39" s="107">
        <f>SUM(F39:I39)</f>
        <v>-1721.3910580898994</v>
      </c>
      <c r="F39" s="107">
        <f>D39</f>
        <v>-879.9547</v>
      </c>
      <c r="G39" s="107">
        <f>-(94398.68+68750.99+44805.27+130989.02)/1000</f>
        <v>-338.94395999999995</v>
      </c>
      <c r="H39" s="107">
        <f>F39-G39</f>
        <v>-541.01074</v>
      </c>
      <c r="I39" s="107">
        <f>G39*100/F39</f>
        <v>38.518341910100595</v>
      </c>
      <c r="J39" s="353"/>
    </row>
    <row r="40" spans="1:10" s="357" customFormat="1" ht="18.75">
      <c r="A40" s="351" t="s">
        <v>120</v>
      </c>
      <c r="B40" s="305">
        <v>150</v>
      </c>
      <c r="C40" s="320">
        <f>'[1]I. Фін план (2018)'!E45</f>
        <v>-167.8</v>
      </c>
      <c r="D40" s="107">
        <f>'[1]Фін план (2019) 4'!F45</f>
        <v>-256.5</v>
      </c>
      <c r="E40" s="107">
        <f aca="true" t="shared" si="3" ref="E40:E70">SUM(F40:I40)</f>
        <v>-426.3502962962963</v>
      </c>
      <c r="F40" s="107">
        <f>D40</f>
        <v>-256.5</v>
      </c>
      <c r="G40" s="107">
        <f>-(81288.63+57072.08+55953.84+27941.94)/1000</f>
        <v>-222.25649</v>
      </c>
      <c r="H40" s="107">
        <f>F40-G40</f>
        <v>-34.243509999999986</v>
      </c>
      <c r="I40" s="107">
        <f>G40*100/F40</f>
        <v>86.64970370370371</v>
      </c>
      <c r="J40" s="353"/>
    </row>
    <row r="41" spans="1:10" s="357" customFormat="1" ht="18.75">
      <c r="A41" s="351" t="s">
        <v>121</v>
      </c>
      <c r="B41" s="305">
        <v>160</v>
      </c>
      <c r="C41" s="356">
        <f>SUM(C42:C45)</f>
        <v>-501.3</v>
      </c>
      <c r="D41" s="356">
        <f aca="true" t="shared" si="4" ref="D41:I41">SUM(D42:D45)</f>
        <v>-565.4</v>
      </c>
      <c r="E41" s="356">
        <f t="shared" si="4"/>
        <v>-765.7308977063083</v>
      </c>
      <c r="F41" s="356">
        <f t="shared" si="4"/>
        <v>-565.4</v>
      </c>
      <c r="G41" s="356">
        <f t="shared" si="4"/>
        <v>-572.82437</v>
      </c>
      <c r="H41" s="356">
        <f t="shared" si="4"/>
        <v>7.424370000000003</v>
      </c>
      <c r="I41" s="356">
        <f t="shared" si="4"/>
        <v>365.0691022936917</v>
      </c>
      <c r="J41" s="353"/>
    </row>
    <row r="42" spans="1:10" s="357" customFormat="1" ht="18.75">
      <c r="A42" s="354" t="s">
        <v>122</v>
      </c>
      <c r="B42" s="358">
        <v>161</v>
      </c>
      <c r="C42" s="320">
        <f>'[1]I. Фін план (2018)'!E47</f>
        <v>-278.95</v>
      </c>
      <c r="D42" s="107">
        <f>'[1]Фін план (2019) 4'!F47</f>
        <v>-300</v>
      </c>
      <c r="E42" s="107">
        <f t="shared" si="3"/>
        <v>-482.08543</v>
      </c>
      <c r="F42" s="107">
        <f>D42</f>
        <v>-300</v>
      </c>
      <c r="G42" s="107">
        <f>-(186836.45+39811.35+8081.49+119014.42)/1000</f>
        <v>-353.74371</v>
      </c>
      <c r="H42" s="107">
        <f aca="true" t="shared" si="5" ref="H42:H54">F42-G42</f>
        <v>53.74371000000002</v>
      </c>
      <c r="I42" s="107">
        <f>G42*100/F42</f>
        <v>117.91457</v>
      </c>
      <c r="J42" s="353"/>
    </row>
    <row r="43" spans="1:10" s="357" customFormat="1" ht="18.75">
      <c r="A43" s="354" t="s">
        <v>123</v>
      </c>
      <c r="B43" s="358">
        <v>162</v>
      </c>
      <c r="C43" s="320">
        <f>'[1]I. Фін план (2018)'!E48</f>
        <v>-4.05</v>
      </c>
      <c r="D43" s="107">
        <f>'[1]Фін план (2019) 4'!F48</f>
        <v>-15.899999999999999</v>
      </c>
      <c r="E43" s="107">
        <f t="shared" si="3"/>
        <v>61.45364779874214</v>
      </c>
      <c r="F43" s="107">
        <f aca="true" t="shared" si="6" ref="F43:F54">D43</f>
        <v>-15.899999999999999</v>
      </c>
      <c r="G43" s="107">
        <f>-(1839.33+2457.63+5659.47+4870.9)/1000</f>
        <v>-14.82733</v>
      </c>
      <c r="H43" s="107">
        <f t="shared" si="5"/>
        <v>-1.0726699999999987</v>
      </c>
      <c r="I43" s="107">
        <f aca="true" t="shared" si="7" ref="I43:I50">G43*100/F43</f>
        <v>93.25364779874214</v>
      </c>
      <c r="J43" s="353"/>
    </row>
    <row r="44" spans="1:10" s="357" customFormat="1" ht="18.75">
      <c r="A44" s="354" t="s">
        <v>124</v>
      </c>
      <c r="B44" s="358">
        <v>163</v>
      </c>
      <c r="C44" s="320">
        <f>'[1]I. Фін план (2018)'!E49</f>
        <v>-16.3</v>
      </c>
      <c r="D44" s="107">
        <f>'[1]Фін план (2019) 4'!F49</f>
        <v>-49.5</v>
      </c>
      <c r="E44" s="107">
        <f t="shared" si="3"/>
        <v>-30.1970505050505</v>
      </c>
      <c r="F44" s="107">
        <f t="shared" si="6"/>
        <v>-49.5</v>
      </c>
      <c r="G44" s="107">
        <f>-(25728.43+909.59+194.52+7224.92)/1000</f>
        <v>-34.05746</v>
      </c>
      <c r="H44" s="107">
        <f t="shared" si="5"/>
        <v>-15.442540000000001</v>
      </c>
      <c r="I44" s="107">
        <f t="shared" si="7"/>
        <v>68.8029494949495</v>
      </c>
      <c r="J44" s="353"/>
    </row>
    <row r="45" spans="1:10" s="357" customFormat="1" ht="18.75">
      <c r="A45" s="354" t="s">
        <v>125</v>
      </c>
      <c r="B45" s="358">
        <v>164</v>
      </c>
      <c r="C45" s="320">
        <f>'[1]I. Фін план (2018)'!E50</f>
        <v>-202</v>
      </c>
      <c r="D45" s="107">
        <f>'[1]Фін план (2019) 4'!F50</f>
        <v>-200</v>
      </c>
      <c r="E45" s="107">
        <f t="shared" si="3"/>
        <v>-314.902065</v>
      </c>
      <c r="F45" s="107">
        <f t="shared" si="6"/>
        <v>-200</v>
      </c>
      <c r="G45" s="107">
        <f>-(123671.52+46524.35)/1000</f>
        <v>-170.19586999999999</v>
      </c>
      <c r="H45" s="107">
        <f t="shared" si="5"/>
        <v>-29.804130000000015</v>
      </c>
      <c r="I45" s="107">
        <f t="shared" si="7"/>
        <v>85.09793499999999</v>
      </c>
      <c r="J45" s="353"/>
    </row>
    <row r="46" spans="1:10" s="357" customFormat="1" ht="37.5">
      <c r="A46" s="351" t="s">
        <v>126</v>
      </c>
      <c r="B46" s="305">
        <v>170</v>
      </c>
      <c r="C46" s="320">
        <f>'[1]I. Фін план (2018)'!E51</f>
        <v>-486.61</v>
      </c>
      <c r="D46" s="107">
        <f>'[1]Фін план (2019) 4'!F51</f>
        <v>-891.565</v>
      </c>
      <c r="E46" s="107">
        <f t="shared" si="3"/>
        <v>-1694.2453611907154</v>
      </c>
      <c r="F46" s="107">
        <f t="shared" si="6"/>
        <v>-891.565</v>
      </c>
      <c r="G46" s="107">
        <f>-(123799.01+109740.19+123827.48+435097.65)/1000</f>
        <v>-792.46433</v>
      </c>
      <c r="H46" s="107">
        <f t="shared" si="5"/>
        <v>-99.10067000000004</v>
      </c>
      <c r="I46" s="107">
        <f t="shared" si="7"/>
        <v>88.8846388092848</v>
      </c>
      <c r="J46" s="353"/>
    </row>
    <row r="47" spans="1:10" s="357" customFormat="1" ht="18.75">
      <c r="A47" s="351" t="s">
        <v>127</v>
      </c>
      <c r="B47" s="305">
        <v>180</v>
      </c>
      <c r="C47" s="320">
        <f>'[1]I. Фін план (2018)'!E52</f>
        <v>-6614.18</v>
      </c>
      <c r="D47" s="107">
        <f>'[1]Фін план (2019) 4'!F52</f>
        <v>-19326.61261</v>
      </c>
      <c r="E47" s="107">
        <f>SUM(F47:I47)</f>
        <v>-38546.947540075</v>
      </c>
      <c r="F47" s="107">
        <f t="shared" si="6"/>
        <v>-19326.61261</v>
      </c>
      <c r="G47" s="107">
        <f>-(4696680.67+5537241.53+5215289.21+5090664.08)/1000</f>
        <v>-20539.875490000002</v>
      </c>
      <c r="H47" s="107">
        <f t="shared" si="5"/>
        <v>1213.262880000002</v>
      </c>
      <c r="I47" s="107">
        <f t="shared" si="7"/>
        <v>106.27767992499747</v>
      </c>
      <c r="J47" s="353"/>
    </row>
    <row r="48" spans="1:10" s="357" customFormat="1" ht="18.75">
      <c r="A48" s="351" t="s">
        <v>128</v>
      </c>
      <c r="B48" s="305">
        <v>190</v>
      </c>
      <c r="C48" s="320">
        <f>'[1]I. Фін план (2018)'!E53</f>
        <v>-1455.28</v>
      </c>
      <c r="D48" s="107">
        <f>'[1]Фін план (2019) 4'!F53</f>
        <v>-4239.999999999999</v>
      </c>
      <c r="E48" s="107">
        <f t="shared" si="3"/>
        <v>-8372.825865094339</v>
      </c>
      <c r="F48" s="107">
        <f t="shared" si="6"/>
        <v>-4239.999999999999</v>
      </c>
      <c r="G48" s="107">
        <f>-(1038340.44+1210905.81+1146195.87+1148741.2)/1000</f>
        <v>-4544.18332</v>
      </c>
      <c r="H48" s="107">
        <f t="shared" si="5"/>
        <v>304.183320000001</v>
      </c>
      <c r="I48" s="107">
        <f t="shared" si="7"/>
        <v>107.1741349056604</v>
      </c>
      <c r="J48" s="353"/>
    </row>
    <row r="49" spans="1:10" s="357" customFormat="1" ht="18.75">
      <c r="A49" s="351" t="s">
        <v>129</v>
      </c>
      <c r="B49" s="305">
        <v>200</v>
      </c>
      <c r="C49" s="320">
        <f>'[1]I. Фін план (2018)'!E54</f>
        <v>-129</v>
      </c>
      <c r="D49" s="107">
        <f>'[1]Фін план (2019) 4'!F54</f>
        <v>-36</v>
      </c>
      <c r="E49" s="107">
        <f t="shared" si="3"/>
        <v>27.48483333333334</v>
      </c>
      <c r="F49" s="107">
        <f t="shared" si="6"/>
        <v>-36</v>
      </c>
      <c r="G49" s="107">
        <f>-(3516.9+16944.95+8520+6832.69)/1000</f>
        <v>-35.81454</v>
      </c>
      <c r="H49" s="107">
        <f t="shared" si="5"/>
        <v>-0.18545999999999907</v>
      </c>
      <c r="I49" s="107">
        <f t="shared" si="7"/>
        <v>99.48483333333334</v>
      </c>
      <c r="J49" s="353"/>
    </row>
    <row r="50" spans="1:10" s="357" customFormat="1" ht="18.75">
      <c r="A50" s="351" t="s">
        <v>130</v>
      </c>
      <c r="B50" s="305">
        <v>210</v>
      </c>
      <c r="C50" s="320">
        <f>'[1]I. Фін план (2018)'!E55</f>
        <v>-27.5</v>
      </c>
      <c r="D50" s="107">
        <f>'[1]Фін план (2019) 4'!F55</f>
        <v>-7.5</v>
      </c>
      <c r="E50" s="107">
        <f t="shared" si="3"/>
        <v>58.30666666666667</v>
      </c>
      <c r="F50" s="107">
        <f t="shared" si="6"/>
        <v>-7.5</v>
      </c>
      <c r="G50" s="107">
        <f>-(5498)/1000</f>
        <v>-5.498</v>
      </c>
      <c r="H50" s="107">
        <f t="shared" si="5"/>
        <v>-2.002</v>
      </c>
      <c r="I50" s="107">
        <f t="shared" si="7"/>
        <v>73.30666666666667</v>
      </c>
      <c r="J50" s="353"/>
    </row>
    <row r="51" spans="1:10" s="357" customFormat="1" ht="37.5">
      <c r="A51" s="351" t="s">
        <v>952</v>
      </c>
      <c r="B51" s="305">
        <v>220</v>
      </c>
      <c r="C51" s="320">
        <f>'[1]I. Фін план (2018)'!E56</f>
        <v>-223.5</v>
      </c>
      <c r="D51" s="107">
        <f>'[1]Фін план (2019) 4'!F56</f>
        <v>0</v>
      </c>
      <c r="E51" s="107">
        <f t="shared" si="3"/>
        <v>0</v>
      </c>
      <c r="F51" s="107">
        <f t="shared" si="6"/>
        <v>0</v>
      </c>
      <c r="G51" s="107">
        <v>0</v>
      </c>
      <c r="H51" s="107">
        <f t="shared" si="5"/>
        <v>0</v>
      </c>
      <c r="I51" s="107">
        <v>0</v>
      </c>
      <c r="J51" s="353" t="s">
        <v>951</v>
      </c>
    </row>
    <row r="52" spans="1:10" s="357" customFormat="1" ht="37.5">
      <c r="A52" s="351" t="s">
        <v>131</v>
      </c>
      <c r="B52" s="305">
        <v>230</v>
      </c>
      <c r="C52" s="320">
        <f>'[1]I. Фін план (2018)'!E57</f>
        <v>-100</v>
      </c>
      <c r="D52" s="107">
        <f>'[1]Фін план (2019) 4'!F57</f>
        <v>-391.435</v>
      </c>
      <c r="E52" s="107">
        <f t="shared" si="3"/>
        <v>-682.87</v>
      </c>
      <c r="F52" s="107">
        <f t="shared" si="6"/>
        <v>-391.435</v>
      </c>
      <c r="G52" s="107">
        <f>-(311780+79655)/1000</f>
        <v>-391.435</v>
      </c>
      <c r="H52" s="107">
        <f t="shared" si="5"/>
        <v>0</v>
      </c>
      <c r="I52" s="107">
        <f>G52*100/F52</f>
        <v>100</v>
      </c>
      <c r="J52" s="353" t="s">
        <v>953</v>
      </c>
    </row>
    <row r="53" spans="1:10" s="357" customFormat="1" ht="18.75">
      <c r="A53" s="351" t="s">
        <v>132</v>
      </c>
      <c r="B53" s="305">
        <v>240</v>
      </c>
      <c r="C53" s="320">
        <f>'[1]I. Фін план (2018)'!E58</f>
        <v>0</v>
      </c>
      <c r="D53" s="107">
        <f>'[1]Фін план (2019) 4'!F58</f>
        <v>0</v>
      </c>
      <c r="E53" s="107">
        <f t="shared" si="3"/>
        <v>0</v>
      </c>
      <c r="F53" s="107">
        <f t="shared" si="6"/>
        <v>0</v>
      </c>
      <c r="G53" s="107">
        <v>0</v>
      </c>
      <c r="H53" s="107">
        <f t="shared" si="5"/>
        <v>0</v>
      </c>
      <c r="I53" s="107">
        <v>0</v>
      </c>
      <c r="J53" s="353"/>
    </row>
    <row r="54" spans="1:10" s="357" customFormat="1" ht="18.75">
      <c r="A54" s="351" t="s">
        <v>202</v>
      </c>
      <c r="B54" s="352">
        <v>250</v>
      </c>
      <c r="C54" s="320">
        <f>'[1]I. Фін план (2018)'!E59</f>
        <v>-0.87</v>
      </c>
      <c r="D54" s="107">
        <f>'[1]Фін план (2019) 4'!F59</f>
        <v>-2.8</v>
      </c>
      <c r="E54" s="107">
        <f t="shared" si="3"/>
        <v>92.72000000000001</v>
      </c>
      <c r="F54" s="107">
        <f t="shared" si="6"/>
        <v>-2.8</v>
      </c>
      <c r="G54" s="107">
        <f>-(1376.46+1376.5)/1000</f>
        <v>-2.75296</v>
      </c>
      <c r="H54" s="359">
        <f t="shared" si="5"/>
        <v>-0.04703999999999997</v>
      </c>
      <c r="I54" s="107">
        <f>G54*100/F54</f>
        <v>98.32000000000001</v>
      </c>
      <c r="J54" s="353" t="s">
        <v>954</v>
      </c>
    </row>
    <row r="55" spans="1:10" ht="18.75">
      <c r="A55" s="351" t="s">
        <v>134</v>
      </c>
      <c r="B55" s="352">
        <v>260</v>
      </c>
      <c r="C55" s="335">
        <f>SUM(C56:C66)</f>
        <v>-1747.8499999999997</v>
      </c>
      <c r="D55" s="335">
        <f aca="true" t="shared" si="8" ref="D55:I55">SUM(D56:D66)</f>
        <v>-4649.89981</v>
      </c>
      <c r="E55" s="335">
        <f t="shared" si="8"/>
        <v>-8062.816360586519</v>
      </c>
      <c r="F55" s="335">
        <f t="shared" si="8"/>
        <v>-4649.89981</v>
      </c>
      <c r="G55" s="335">
        <f t="shared" si="8"/>
        <v>-4718.6708</v>
      </c>
      <c r="H55" s="335">
        <f t="shared" si="8"/>
        <v>68.77099000000024</v>
      </c>
      <c r="I55" s="335">
        <f t="shared" si="8"/>
        <v>1236.9832594134791</v>
      </c>
      <c r="J55" s="353"/>
    </row>
    <row r="56" spans="1:10" ht="56.25">
      <c r="A56" s="354" t="s">
        <v>135</v>
      </c>
      <c r="B56" s="355">
        <v>261</v>
      </c>
      <c r="C56" s="320">
        <f>'[1]I. Фін план (2018)'!E61</f>
        <v>-27</v>
      </c>
      <c r="D56" s="107">
        <f>'[1]Фін план (2019) 4'!F61</f>
        <v>-11</v>
      </c>
      <c r="E56" s="107">
        <f t="shared" si="3"/>
        <v>160.02554545454544</v>
      </c>
      <c r="F56" s="107">
        <f>D56</f>
        <v>-11</v>
      </c>
      <c r="G56" s="107">
        <f>-(6508.48+1648.5+1293+10572.83)/1000</f>
        <v>-20.022809999999996</v>
      </c>
      <c r="H56" s="107">
        <f>F56-G56</f>
        <v>9.022809999999996</v>
      </c>
      <c r="I56" s="107">
        <f>G56*100/F56</f>
        <v>182.02554545454544</v>
      </c>
      <c r="J56" s="353"/>
    </row>
    <row r="57" spans="1:10" ht="37.5">
      <c r="A57" s="354" t="s">
        <v>126</v>
      </c>
      <c r="B57" s="355">
        <v>262</v>
      </c>
      <c r="C57" s="320">
        <f>'[1]I. Фін план (2018)'!E62</f>
        <v>-38.300000000000004</v>
      </c>
      <c r="D57" s="107">
        <f>'[1]Фін план (2019) 4'!F62</f>
        <v>-80</v>
      </c>
      <c r="E57" s="107">
        <f t="shared" si="3"/>
        <v>-72.8140375</v>
      </c>
      <c r="F57" s="107">
        <f aca="true" t="shared" si="9" ref="F57:F66">D57</f>
        <v>-80</v>
      </c>
      <c r="G57" s="107">
        <f>-(17803.57+13176.81+30826.25+7942.14)/1000</f>
        <v>-69.74877000000001</v>
      </c>
      <c r="H57" s="107">
        <f aca="true" t="shared" si="10" ref="H57:H66">F57-G57</f>
        <v>-10.251229999999993</v>
      </c>
      <c r="I57" s="107">
        <f aca="true" t="shared" si="11" ref="I57:I66">G57*100/F57</f>
        <v>87.1859625</v>
      </c>
      <c r="J57" s="353" t="s">
        <v>955</v>
      </c>
    </row>
    <row r="58" spans="1:12" s="357" customFormat="1" ht="18.75">
      <c r="A58" s="354" t="s">
        <v>136</v>
      </c>
      <c r="B58" s="355">
        <v>263</v>
      </c>
      <c r="C58" s="320">
        <f>'[1]I. Фін план (2018)'!E63</f>
        <v>-16</v>
      </c>
      <c r="D58" s="107">
        <f>'[1]Фін план (2019) 4'!F63</f>
        <v>-4</v>
      </c>
      <c r="E58" s="107">
        <f t="shared" si="3"/>
        <v>97.64775</v>
      </c>
      <c r="F58" s="107">
        <f t="shared" si="9"/>
        <v>-4</v>
      </c>
      <c r="G58" s="107">
        <f>-(1693.74+2532.17)/1000</f>
        <v>-4.22591</v>
      </c>
      <c r="H58" s="107">
        <f t="shared" si="10"/>
        <v>0.22590999999999983</v>
      </c>
      <c r="I58" s="107">
        <f t="shared" si="11"/>
        <v>105.64775</v>
      </c>
      <c r="J58" s="353" t="s">
        <v>956</v>
      </c>
      <c r="L58" s="360"/>
    </row>
    <row r="59" spans="1:10" s="357" customFormat="1" ht="18.75">
      <c r="A59" s="354" t="s">
        <v>137</v>
      </c>
      <c r="B59" s="355">
        <v>264</v>
      </c>
      <c r="C59" s="320">
        <f>'[1]I. Фін план (2018)'!E64</f>
        <v>-1312.07</v>
      </c>
      <c r="D59" s="107">
        <f>'[1]Фін план (2019) 4'!F64</f>
        <v>-3549.99981</v>
      </c>
      <c r="E59" s="107">
        <f t="shared" si="3"/>
        <v>-6999.30521461072</v>
      </c>
      <c r="F59" s="107">
        <f t="shared" si="9"/>
        <v>-3549.99981</v>
      </c>
      <c r="G59" s="107">
        <f>-(843113.26+895927.21+884899.19+950711.54)/1000</f>
        <v>-3574.6512000000002</v>
      </c>
      <c r="H59" s="107">
        <f t="shared" si="10"/>
        <v>24.651390000000447</v>
      </c>
      <c r="I59" s="107">
        <f t="shared" si="11"/>
        <v>100.69440538927805</v>
      </c>
      <c r="J59" s="353"/>
    </row>
    <row r="60" spans="1:10" s="357" customFormat="1" ht="18.75">
      <c r="A60" s="354" t="s">
        <v>138</v>
      </c>
      <c r="B60" s="355">
        <v>265</v>
      </c>
      <c r="C60" s="320">
        <f>'[1]I. Фін план (2018)'!E65</f>
        <v>-288.64</v>
      </c>
      <c r="D60" s="107">
        <f>'[1]Фін план (2019) 4'!F65</f>
        <v>-780.0000000000001</v>
      </c>
      <c r="E60" s="107">
        <f t="shared" si="3"/>
        <v>-1462.1108423076923</v>
      </c>
      <c r="F60" s="107">
        <f t="shared" si="9"/>
        <v>-780.0000000000001</v>
      </c>
      <c r="G60" s="107">
        <f>-(183104.18+192782.15+182873.29+204775.81)/1000</f>
        <v>-763.5354299999999</v>
      </c>
      <c r="H60" s="107">
        <f t="shared" si="10"/>
        <v>-16.464570000000208</v>
      </c>
      <c r="I60" s="107">
        <f t="shared" si="11"/>
        <v>97.88915769230766</v>
      </c>
      <c r="J60" s="353"/>
    </row>
    <row r="61" spans="1:10" s="357" customFormat="1" ht="18.75">
      <c r="A61" s="354" t="s">
        <v>122</v>
      </c>
      <c r="B61" s="355">
        <v>266</v>
      </c>
      <c r="C61" s="320">
        <f>'[1]I. Фін план (2018)'!E66</f>
        <v>-13.200000000000001</v>
      </c>
      <c r="D61" s="107">
        <f>'[1]Фін план (2019) 4'!F66</f>
        <v>-115</v>
      </c>
      <c r="E61" s="107">
        <f t="shared" si="3"/>
        <v>-121.4215391304348</v>
      </c>
      <c r="F61" s="107">
        <f t="shared" si="9"/>
        <v>-115</v>
      </c>
      <c r="G61" s="107">
        <f>-(78074.25+10941.05+646.84+35203.09)/1000</f>
        <v>-124.86523</v>
      </c>
      <c r="H61" s="107">
        <f t="shared" si="10"/>
        <v>9.865229999999997</v>
      </c>
      <c r="I61" s="107">
        <f t="shared" si="11"/>
        <v>108.5784608695652</v>
      </c>
      <c r="J61" s="353" t="s">
        <v>957</v>
      </c>
    </row>
    <row r="62" spans="1:10" s="357" customFormat="1" ht="18.75">
      <c r="A62" s="354" t="s">
        <v>123</v>
      </c>
      <c r="B62" s="355">
        <v>267</v>
      </c>
      <c r="C62" s="320">
        <f>'[1]I. Фін план (2018)'!E67</f>
        <v>-1.1</v>
      </c>
      <c r="D62" s="107">
        <f>'[1]Фін план (2019) 4'!F67</f>
        <v>-3.1999999999999997</v>
      </c>
      <c r="E62" s="107">
        <f t="shared" si="3"/>
        <v>93.65062499999999</v>
      </c>
      <c r="F62" s="107">
        <f t="shared" si="9"/>
        <v>-3.1999999999999997</v>
      </c>
      <c r="G62" s="359">
        <f>-(639.21+715.02+940.29+907.1)/1000</f>
        <v>-3.2016199999999997</v>
      </c>
      <c r="H62" s="107">
        <f t="shared" si="10"/>
        <v>0.0016199999999999548</v>
      </c>
      <c r="I62" s="107">
        <f t="shared" si="11"/>
        <v>100.050625</v>
      </c>
      <c r="J62" s="353"/>
    </row>
    <row r="63" spans="1:10" s="357" customFormat="1" ht="18.75">
      <c r="A63" s="351" t="s">
        <v>120</v>
      </c>
      <c r="B63" s="355">
        <v>268</v>
      </c>
      <c r="C63" s="320">
        <f>'[1]I. Фін план (2018)'!E68</f>
        <v>-34.2</v>
      </c>
      <c r="D63" s="107">
        <f>'[1]Фін план (2019) 4'!F68</f>
        <v>-35</v>
      </c>
      <c r="E63" s="107">
        <f t="shared" si="3"/>
        <v>170.5828857142857</v>
      </c>
      <c r="F63" s="107">
        <f t="shared" si="9"/>
        <v>-35</v>
      </c>
      <c r="G63" s="107">
        <f>-(21826.92+19752.39+13866.81+28757.89)/1000</f>
        <v>-84.20401</v>
      </c>
      <c r="H63" s="107">
        <f t="shared" si="10"/>
        <v>49.20401</v>
      </c>
      <c r="I63" s="107">
        <f t="shared" si="11"/>
        <v>240.5828857142857</v>
      </c>
      <c r="J63" s="353"/>
    </row>
    <row r="64" spans="1:10" s="357" customFormat="1" ht="18.75">
      <c r="A64" s="351" t="s">
        <v>130</v>
      </c>
      <c r="B64" s="355">
        <v>269</v>
      </c>
      <c r="C64" s="320">
        <f>'[1]I. Фін план (2018)'!E69</f>
        <v>-2.5</v>
      </c>
      <c r="D64" s="107">
        <f>'[1]Фін план (2019) 4'!F69</f>
        <v>-24.5</v>
      </c>
      <c r="E64" s="107">
        <f t="shared" si="3"/>
        <v>69.71020408163265</v>
      </c>
      <c r="F64" s="107">
        <f t="shared" si="9"/>
        <v>-24.5</v>
      </c>
      <c r="G64" s="107">
        <f>-(2784+570+13280+12450)/1000</f>
        <v>-29.084</v>
      </c>
      <c r="H64" s="107">
        <f t="shared" si="10"/>
        <v>4.584</v>
      </c>
      <c r="I64" s="107">
        <f t="shared" si="11"/>
        <v>118.71020408163265</v>
      </c>
      <c r="J64" s="353" t="s">
        <v>958</v>
      </c>
    </row>
    <row r="65" spans="1:10" s="357" customFormat="1" ht="18.75">
      <c r="A65" s="351" t="s">
        <v>139</v>
      </c>
      <c r="B65" s="352">
        <v>270</v>
      </c>
      <c r="C65" s="320">
        <f>'[1]I. Фін план (2018)'!E70</f>
        <v>0</v>
      </c>
      <c r="D65" s="107">
        <f>'[1]Фін план (2019) 4'!F70</f>
        <v>0</v>
      </c>
      <c r="E65" s="107">
        <f>SUM(F65:I65)</f>
        <v>0</v>
      </c>
      <c r="F65" s="107">
        <f t="shared" si="9"/>
        <v>0</v>
      </c>
      <c r="G65" s="107">
        <v>0</v>
      </c>
      <c r="H65" s="107">
        <f t="shared" si="10"/>
        <v>0</v>
      </c>
      <c r="I65" s="107">
        <v>0</v>
      </c>
      <c r="J65" s="353"/>
    </row>
    <row r="66" spans="1:10" s="357" customFormat="1" ht="37.5">
      <c r="A66" s="23" t="s">
        <v>204</v>
      </c>
      <c r="B66" s="352">
        <v>280</v>
      </c>
      <c r="C66" s="320">
        <f>'[1]I. Фін план (2018)'!E71</f>
        <v>-14.84</v>
      </c>
      <c r="D66" s="107">
        <f>'[1]Фін план (2019) 4'!F71</f>
        <v>-47.2</v>
      </c>
      <c r="E66" s="107">
        <f t="shared" si="3"/>
        <v>1.2182627118643978</v>
      </c>
      <c r="F66" s="107">
        <f t="shared" si="9"/>
        <v>-47.2</v>
      </c>
      <c r="G66" s="107">
        <f>-(2354.75+25466.59+15688.88+1621.6)/1000</f>
        <v>-45.13182</v>
      </c>
      <c r="H66" s="107">
        <f t="shared" si="10"/>
        <v>-2.0681800000000052</v>
      </c>
      <c r="I66" s="107">
        <f t="shared" si="11"/>
        <v>95.6182627118644</v>
      </c>
      <c r="J66" s="353"/>
    </row>
    <row r="67" spans="1:10" s="357" customFormat="1" ht="18.75">
      <c r="A67" s="351" t="s">
        <v>140</v>
      </c>
      <c r="B67" s="352">
        <v>290</v>
      </c>
      <c r="C67" s="361">
        <f>SUM(C68:C69)</f>
        <v>0</v>
      </c>
      <c r="D67" s="361">
        <f aca="true" t="shared" si="12" ref="D67:I67">SUM(D68:D69)</f>
        <v>0</v>
      </c>
      <c r="E67" s="361">
        <f t="shared" si="12"/>
        <v>0</v>
      </c>
      <c r="F67" s="361">
        <f t="shared" si="12"/>
        <v>0</v>
      </c>
      <c r="G67" s="361">
        <f t="shared" si="12"/>
        <v>0</v>
      </c>
      <c r="H67" s="361">
        <f t="shared" si="12"/>
        <v>0</v>
      </c>
      <c r="I67" s="361">
        <f t="shared" si="12"/>
        <v>0</v>
      </c>
      <c r="J67" s="353"/>
    </row>
    <row r="68" spans="1:10" s="357" customFormat="1" ht="18.75">
      <c r="A68" s="354" t="s">
        <v>141</v>
      </c>
      <c r="B68" s="362">
        <v>291</v>
      </c>
      <c r="C68" s="320">
        <f>'[1]I. Фін план (2018)'!E73</f>
        <v>0</v>
      </c>
      <c r="D68" s="107">
        <f>'[1]Фін план (2019) 4'!F73</f>
        <v>0</v>
      </c>
      <c r="E68" s="107">
        <f t="shared" si="3"/>
        <v>0</v>
      </c>
      <c r="F68" s="107"/>
      <c r="G68" s="107"/>
      <c r="H68" s="107">
        <v>0</v>
      </c>
      <c r="I68" s="107">
        <v>0</v>
      </c>
      <c r="J68" s="353"/>
    </row>
    <row r="69" spans="1:10" s="357" customFormat="1" ht="18.75">
      <c r="A69" s="354" t="s">
        <v>142</v>
      </c>
      <c r="B69" s="362">
        <v>292</v>
      </c>
      <c r="C69" s="320">
        <f>'[1]I. Фін план (2018)'!E74</f>
        <v>0</v>
      </c>
      <c r="D69" s="107">
        <f>'[1]Фін план (2019) 4'!F74</f>
        <v>0</v>
      </c>
      <c r="E69" s="107">
        <f t="shared" si="3"/>
        <v>0</v>
      </c>
      <c r="F69" s="107"/>
      <c r="G69" s="107"/>
      <c r="H69" s="107">
        <v>0</v>
      </c>
      <c r="I69" s="107">
        <v>0</v>
      </c>
      <c r="J69" s="353" t="s">
        <v>959</v>
      </c>
    </row>
    <row r="70" spans="1:10" s="357" customFormat="1" ht="37.5">
      <c r="A70" s="351" t="s">
        <v>143</v>
      </c>
      <c r="B70" s="303">
        <v>300</v>
      </c>
      <c r="C70" s="320">
        <f>'[1]I. Фін план (2018)'!E75</f>
        <v>-15</v>
      </c>
      <c r="D70" s="107">
        <f>'[1]Фін план (2019) 4'!F75</f>
        <v>-30</v>
      </c>
      <c r="E70" s="107">
        <f t="shared" si="3"/>
        <v>-23.330000000000005</v>
      </c>
      <c r="F70" s="107">
        <f>D70</f>
        <v>-30</v>
      </c>
      <c r="G70" s="107">
        <f>-(11001)/1000</f>
        <v>-11.001</v>
      </c>
      <c r="H70" s="107">
        <f>F70-G70</f>
        <v>-18.999000000000002</v>
      </c>
      <c r="I70" s="107">
        <f>G70*100/F70</f>
        <v>36.669999999999995</v>
      </c>
      <c r="J70" s="353"/>
    </row>
    <row r="71" spans="1:10" s="357" customFormat="1" ht="18.75">
      <c r="A71" s="349" t="s">
        <v>144</v>
      </c>
      <c r="B71" s="112"/>
      <c r="C71" s="363"/>
      <c r="D71" s="364"/>
      <c r="E71" s="364"/>
      <c r="F71" s="364"/>
      <c r="G71" s="364"/>
      <c r="H71" s="364"/>
      <c r="I71" s="365"/>
      <c r="J71" s="353"/>
    </row>
    <row r="72" spans="1:10" s="357" customFormat="1" ht="18.75">
      <c r="A72" s="351" t="s">
        <v>145</v>
      </c>
      <c r="B72" s="303">
        <v>310</v>
      </c>
      <c r="C72" s="320">
        <f>C37+C40+C41+C46+C49+C50+C51+C52</f>
        <v>-2016.71</v>
      </c>
      <c r="D72" s="320">
        <f>D37+D40+D41+D46+D49+D50+D51+D52</f>
        <v>-3600.2507</v>
      </c>
      <c r="E72" s="320">
        <f>E37+E40+E41+E46+E49+E50+E51+E52</f>
        <v>-6245.603462227783</v>
      </c>
      <c r="F72" s="320">
        <f>F37+F40+F41+F46+F49+F50+F51+F52</f>
        <v>-3600.2507</v>
      </c>
      <c r="G72" s="320">
        <f>G37+G40+G41+G46+G49+G50+G51+G52</f>
        <v>-2948.2017899999996</v>
      </c>
      <c r="H72" s="107">
        <f>F72-G72</f>
        <v>-652.0489100000004</v>
      </c>
      <c r="I72" s="107">
        <f>G72*100/F72</f>
        <v>81.88879152221259</v>
      </c>
      <c r="J72" s="353"/>
    </row>
    <row r="73" spans="1:10" s="357" customFormat="1" ht="18.75">
      <c r="A73" s="351" t="s">
        <v>127</v>
      </c>
      <c r="B73" s="303">
        <v>320</v>
      </c>
      <c r="C73" s="320">
        <f>C47+C59</f>
        <v>-7926.25</v>
      </c>
      <c r="D73" s="320">
        <f aca="true" t="shared" si="13" ref="D73:G74">D47+D59</f>
        <v>-22876.61242</v>
      </c>
      <c r="E73" s="320">
        <f t="shared" si="13"/>
        <v>-45546.25275468572</v>
      </c>
      <c r="F73" s="320">
        <f t="shared" si="13"/>
        <v>-22876.61242</v>
      </c>
      <c r="G73" s="320">
        <f t="shared" si="13"/>
        <v>-24114.526690000002</v>
      </c>
      <c r="H73" s="107">
        <f>F73-G73</f>
        <v>1237.9142700000011</v>
      </c>
      <c r="I73" s="107">
        <f>G73*100/F73</f>
        <v>105.4112656510181</v>
      </c>
      <c r="J73" s="353"/>
    </row>
    <row r="74" spans="1:10" s="357" customFormat="1" ht="18.75">
      <c r="A74" s="351" t="s">
        <v>128</v>
      </c>
      <c r="B74" s="303">
        <v>330</v>
      </c>
      <c r="C74" s="320">
        <f>C48+C60</f>
        <v>-1743.92</v>
      </c>
      <c r="D74" s="320">
        <f t="shared" si="13"/>
        <v>-5019.999999999999</v>
      </c>
      <c r="E74" s="320">
        <f t="shared" si="13"/>
        <v>-9834.936707402032</v>
      </c>
      <c r="F74" s="320">
        <f t="shared" si="13"/>
        <v>-5019.999999999999</v>
      </c>
      <c r="G74" s="320">
        <f t="shared" si="13"/>
        <v>-5307.71875</v>
      </c>
      <c r="H74" s="107">
        <f>F74-G74</f>
        <v>287.7187500000009</v>
      </c>
      <c r="I74" s="107">
        <f>G74*100/F74</f>
        <v>105.73144920318727</v>
      </c>
      <c r="J74" s="353"/>
    </row>
    <row r="75" spans="1:10" s="357" customFormat="1" ht="18.75">
      <c r="A75" s="351" t="s">
        <v>132</v>
      </c>
      <c r="B75" s="303">
        <v>340</v>
      </c>
      <c r="C75" s="320">
        <f>C53+C65</f>
        <v>0</v>
      </c>
      <c r="D75" s="320">
        <f>D53+D65</f>
        <v>0</v>
      </c>
      <c r="E75" s="320">
        <f>E53+E65</f>
        <v>0</v>
      </c>
      <c r="F75" s="320">
        <f>F53+F65</f>
        <v>0</v>
      </c>
      <c r="G75" s="320">
        <f>G53+G65</f>
        <v>0</v>
      </c>
      <c r="H75" s="107">
        <f>F75-G75</f>
        <v>0</v>
      </c>
      <c r="I75" s="107">
        <v>0</v>
      </c>
      <c r="J75" s="353"/>
    </row>
    <row r="76" spans="1:10" s="357" customFormat="1" ht="18.75">
      <c r="A76" s="351" t="s">
        <v>146</v>
      </c>
      <c r="B76" s="303">
        <v>350</v>
      </c>
      <c r="C76" s="320">
        <f>C54+C57+C58+C61+C63+C64+C66+C62+C56+C70</f>
        <v>-163.01</v>
      </c>
      <c r="D76" s="320">
        <f>D54+D57+D58+D61+D63+D64+D66+D62+D56+D70</f>
        <v>-352.7</v>
      </c>
      <c r="E76" s="320">
        <f>E54+E57+E58+E61+E63+E64+E66+E62+E56+E70</f>
        <v>467.9896963318934</v>
      </c>
      <c r="F76" s="320">
        <f>F54+F57+F58+F61+F63+F64+F66+F62+F56+F70</f>
        <v>-352.7</v>
      </c>
      <c r="G76" s="320">
        <f>G54+G57+G58+G61+G63+G64+G66+G62+G56+G70</f>
        <v>-394.23812999999996</v>
      </c>
      <c r="H76" s="107">
        <f>F76-G76</f>
        <v>41.53812999999997</v>
      </c>
      <c r="I76" s="107">
        <f>G76*100/F76</f>
        <v>111.77718457612701</v>
      </c>
      <c r="J76" s="353"/>
    </row>
    <row r="77" spans="1:10" s="357" customFormat="1" ht="18.75">
      <c r="A77" s="351" t="s">
        <v>147</v>
      </c>
      <c r="B77" s="303">
        <v>360</v>
      </c>
      <c r="C77" s="326">
        <f>SUM(C72:C76)</f>
        <v>-11849.89</v>
      </c>
      <c r="D77" s="326">
        <f aca="true" t="shared" si="14" ref="D77:I77">SUM(D72:D76)</f>
        <v>-31849.563120000003</v>
      </c>
      <c r="E77" s="326">
        <f t="shared" si="14"/>
        <v>-61158.80322798364</v>
      </c>
      <c r="F77" s="326">
        <f t="shared" si="14"/>
        <v>-31849.563120000003</v>
      </c>
      <c r="G77" s="326">
        <f t="shared" si="14"/>
        <v>-32764.685360000003</v>
      </c>
      <c r="H77" s="326">
        <f t="shared" si="14"/>
        <v>915.1222400000015</v>
      </c>
      <c r="I77" s="326">
        <f t="shared" si="14"/>
        <v>404.80869095254496</v>
      </c>
      <c r="J77" s="353"/>
    </row>
    <row r="78" spans="1:10" s="357" customFormat="1" ht="18.75">
      <c r="A78" s="349" t="s">
        <v>148</v>
      </c>
      <c r="B78" s="112"/>
      <c r="C78" s="363"/>
      <c r="D78" s="364"/>
      <c r="E78" s="364"/>
      <c r="F78" s="364"/>
      <c r="G78" s="364"/>
      <c r="H78" s="364"/>
      <c r="I78" s="365"/>
      <c r="J78" s="353"/>
    </row>
    <row r="79" spans="1:10" s="357" customFormat="1" ht="18.75">
      <c r="A79" s="351" t="s">
        <v>149</v>
      </c>
      <c r="B79" s="303">
        <v>370</v>
      </c>
      <c r="C79" s="356">
        <f>SUM(C80)</f>
        <v>0</v>
      </c>
      <c r="D79" s="356">
        <f aca="true" t="shared" si="15" ref="D79:I79">SUM(D80)</f>
        <v>-1751.3916100000001</v>
      </c>
      <c r="E79" s="356">
        <f t="shared" si="15"/>
        <v>0</v>
      </c>
      <c r="F79" s="356">
        <f t="shared" si="15"/>
        <v>-1751.3916100000001</v>
      </c>
      <c r="G79" s="356">
        <f t="shared" si="15"/>
        <v>-363.3</v>
      </c>
      <c r="H79" s="356">
        <f t="shared" si="15"/>
        <v>-1388.0916100000002</v>
      </c>
      <c r="I79" s="356">
        <f t="shared" si="15"/>
        <v>20.743504646570734</v>
      </c>
      <c r="J79" s="353"/>
    </row>
    <row r="80" spans="1:10" s="357" customFormat="1" ht="56.25">
      <c r="A80" s="23" t="s">
        <v>308</v>
      </c>
      <c r="B80" s="362">
        <v>371</v>
      </c>
      <c r="C80" s="320">
        <f>'[1]I. Фін план (2018)'!E85</f>
        <v>0</v>
      </c>
      <c r="D80" s="320">
        <f>'[1]Фін план (2019) 4'!F85</f>
        <v>-1751.3916100000001</v>
      </c>
      <c r="E80" s="320">
        <f>'[1]I. Фін план (2018)'!G85</f>
        <v>0</v>
      </c>
      <c r="F80" s="320">
        <f>D80</f>
        <v>-1751.3916100000001</v>
      </c>
      <c r="G80" s="320">
        <f>-363.3</f>
        <v>-363.3</v>
      </c>
      <c r="H80" s="107">
        <f>F80-G80</f>
        <v>-1388.0916100000002</v>
      </c>
      <c r="I80" s="107">
        <f>G80*100/F80</f>
        <v>20.743504646570734</v>
      </c>
      <c r="J80" s="353"/>
    </row>
    <row r="81" spans="1:10" s="357" customFormat="1" ht="18.75">
      <c r="A81" s="366" t="s">
        <v>150</v>
      </c>
      <c r="B81" s="367">
        <v>380</v>
      </c>
      <c r="C81" s="335">
        <f>SUM(C82:C87)</f>
        <v>-310.02</v>
      </c>
      <c r="D81" s="335">
        <f aca="true" t="shared" si="16" ref="D81:I81">SUM(D82:D87)</f>
        <v>-552.8000000000001</v>
      </c>
      <c r="E81" s="335">
        <f t="shared" si="16"/>
        <v>-927.6012862003155</v>
      </c>
      <c r="F81" s="335">
        <f t="shared" si="16"/>
        <v>-552.8000000000001</v>
      </c>
      <c r="G81" s="335">
        <f t="shared" si="16"/>
        <v>-510.378</v>
      </c>
      <c r="H81" s="335">
        <f t="shared" si="16"/>
        <v>-42.422</v>
      </c>
      <c r="I81" s="335">
        <f t="shared" si="16"/>
        <v>177.99871379968468</v>
      </c>
      <c r="J81" s="353"/>
    </row>
    <row r="82" spans="1:10" s="357" customFormat="1" ht="18.75">
      <c r="A82" s="351" t="s">
        <v>151</v>
      </c>
      <c r="B82" s="368">
        <v>381</v>
      </c>
      <c r="C82" s="320">
        <f>'[1]I. Фін план (2018)'!E87</f>
        <v>0</v>
      </c>
      <c r="D82" s="107">
        <f>'[1]Фін план (2019) 4'!F87</f>
        <v>0</v>
      </c>
      <c r="E82" s="107">
        <f aca="true" t="shared" si="17" ref="E82:E87">SUM(F82:I82)</f>
        <v>0</v>
      </c>
      <c r="F82" s="107">
        <f aca="true" t="shared" si="18" ref="F82:F87">D82</f>
        <v>0</v>
      </c>
      <c r="G82" s="107">
        <v>0</v>
      </c>
      <c r="H82" s="107">
        <f aca="true" t="shared" si="19" ref="H82:H87">F82-G82</f>
        <v>0</v>
      </c>
      <c r="I82" s="107">
        <v>0</v>
      </c>
      <c r="J82" s="353"/>
    </row>
    <row r="83" spans="1:10" s="357" customFormat="1" ht="18.75">
      <c r="A83" s="351" t="s">
        <v>152</v>
      </c>
      <c r="B83" s="369">
        <v>382</v>
      </c>
      <c r="C83" s="320">
        <f>'[1]I. Фін план (2018)'!E88</f>
        <v>-310.02</v>
      </c>
      <c r="D83" s="107">
        <f>'[1]Фін план (2019) 4'!F88</f>
        <v>-192.816</v>
      </c>
      <c r="E83" s="107">
        <f t="shared" si="17"/>
        <v>-307.6332862003154</v>
      </c>
      <c r="F83" s="107">
        <f t="shared" si="18"/>
        <v>-192.816</v>
      </c>
      <c r="G83" s="107">
        <f>-(8730+123614+18050)/1000</f>
        <v>-150.394</v>
      </c>
      <c r="H83" s="107">
        <f t="shared" si="19"/>
        <v>-42.422</v>
      </c>
      <c r="I83" s="107">
        <f>G83*100/F83</f>
        <v>77.99871379968468</v>
      </c>
      <c r="J83" s="353"/>
    </row>
    <row r="84" spans="1:10" s="357" customFormat="1" ht="37.5">
      <c r="A84" s="351" t="s">
        <v>153</v>
      </c>
      <c r="B84" s="368">
        <v>383</v>
      </c>
      <c r="C84" s="320">
        <f>'[1]I. Фін план (2018)'!E89</f>
        <v>0</v>
      </c>
      <c r="D84" s="107">
        <f>'[1]Фін план (2019) 4'!F89</f>
        <v>0</v>
      </c>
      <c r="E84" s="107">
        <f t="shared" si="17"/>
        <v>0</v>
      </c>
      <c r="F84" s="107">
        <f t="shared" si="18"/>
        <v>0</v>
      </c>
      <c r="G84" s="107">
        <v>0</v>
      </c>
      <c r="H84" s="107">
        <f t="shared" si="19"/>
        <v>0</v>
      </c>
      <c r="I84" s="107">
        <v>0</v>
      </c>
      <c r="J84" s="353"/>
    </row>
    <row r="85" spans="1:10" s="357" customFormat="1" ht="18.75">
      <c r="A85" s="351" t="s">
        <v>154</v>
      </c>
      <c r="B85" s="369">
        <v>384</v>
      </c>
      <c r="C85" s="320">
        <f>'[1]I. Фін план (2018)'!E90</f>
        <v>0</v>
      </c>
      <c r="D85" s="107">
        <f>'[1]Фін план (2019) 4'!F90</f>
        <v>0</v>
      </c>
      <c r="E85" s="107">
        <f t="shared" si="17"/>
        <v>0</v>
      </c>
      <c r="F85" s="107">
        <f t="shared" si="18"/>
        <v>0</v>
      </c>
      <c r="G85" s="107">
        <v>0</v>
      </c>
      <c r="H85" s="107">
        <f t="shared" si="19"/>
        <v>0</v>
      </c>
      <c r="I85" s="107">
        <v>0</v>
      </c>
      <c r="J85" s="353"/>
    </row>
    <row r="86" spans="1:10" s="357" customFormat="1" ht="37.5">
      <c r="A86" s="351" t="s">
        <v>155</v>
      </c>
      <c r="B86" s="369">
        <v>385</v>
      </c>
      <c r="C86" s="320">
        <f>'[1]I. Фін план (2018)'!E91</f>
        <v>0</v>
      </c>
      <c r="D86" s="107">
        <f>'[1]Фін план (2019) 4'!F91</f>
        <v>0</v>
      </c>
      <c r="E86" s="107">
        <f t="shared" si="17"/>
        <v>0</v>
      </c>
      <c r="F86" s="107">
        <f t="shared" si="18"/>
        <v>0</v>
      </c>
      <c r="G86" s="107">
        <v>0</v>
      </c>
      <c r="H86" s="107">
        <f t="shared" si="19"/>
        <v>0</v>
      </c>
      <c r="I86" s="107">
        <v>0</v>
      </c>
      <c r="J86" s="353"/>
    </row>
    <row r="87" spans="1:10" s="357" customFormat="1" ht="18.75">
      <c r="A87" s="351" t="s">
        <v>156</v>
      </c>
      <c r="B87" s="368">
        <v>386</v>
      </c>
      <c r="C87" s="320">
        <f>'[1]I. Фін план (2018)'!E92</f>
        <v>0</v>
      </c>
      <c r="D87" s="107">
        <f>'[1]Фін план (2019) 4'!F92</f>
        <v>-359.98400000000004</v>
      </c>
      <c r="E87" s="107">
        <f t="shared" si="17"/>
        <v>-619.9680000000001</v>
      </c>
      <c r="F87" s="107">
        <f t="shared" si="18"/>
        <v>-359.98400000000004</v>
      </c>
      <c r="G87" s="107">
        <f>-(159333+190135+10516)/1000</f>
        <v>-359.984</v>
      </c>
      <c r="H87" s="107">
        <f t="shared" si="19"/>
        <v>0</v>
      </c>
      <c r="I87" s="107">
        <f>G87*100/F87</f>
        <v>100</v>
      </c>
      <c r="J87" s="353"/>
    </row>
    <row r="88" spans="1:10" s="357" customFormat="1" ht="18.75">
      <c r="A88" s="349" t="s">
        <v>157</v>
      </c>
      <c r="B88" s="112"/>
      <c r="C88" s="363"/>
      <c r="D88" s="364"/>
      <c r="E88" s="364"/>
      <c r="F88" s="364"/>
      <c r="G88" s="364"/>
      <c r="H88" s="364"/>
      <c r="I88" s="365"/>
      <c r="J88" s="353"/>
    </row>
    <row r="89" spans="1:10" s="357" customFormat="1" ht="25.5" customHeight="1">
      <c r="A89" s="351" t="s">
        <v>158</v>
      </c>
      <c r="B89" s="370">
        <v>390</v>
      </c>
      <c r="C89" s="356">
        <f>SUM(C90:C93)</f>
        <v>0</v>
      </c>
      <c r="D89" s="356">
        <f aca="true" t="shared" si="20" ref="D89:I89">SUM(D90:D93)</f>
        <v>553.72214</v>
      </c>
      <c r="E89" s="356">
        <f t="shared" si="20"/>
        <v>1484.2360682706817</v>
      </c>
      <c r="F89" s="356">
        <f t="shared" si="20"/>
        <v>553.72214</v>
      </c>
      <c r="G89" s="356">
        <f t="shared" si="20"/>
        <v>384.1741999999999</v>
      </c>
      <c r="H89" s="356">
        <f t="shared" si="20"/>
        <v>169.54794000000004</v>
      </c>
      <c r="I89" s="356">
        <f t="shared" si="20"/>
        <v>376.7917882706817</v>
      </c>
      <c r="J89" s="353"/>
    </row>
    <row r="90" spans="1:10" s="357" customFormat="1" ht="18.75">
      <c r="A90" s="26" t="s">
        <v>970</v>
      </c>
      <c r="B90" s="371">
        <v>391</v>
      </c>
      <c r="C90" s="320"/>
      <c r="D90" s="107">
        <f>'[1]Фін план (2019) 4'!F95</f>
        <v>3.3656</v>
      </c>
      <c r="E90" s="107">
        <f aca="true" t="shared" si="21" ref="E90:E98">SUM(F90:I90)</f>
        <v>106.73119999999999</v>
      </c>
      <c r="F90" s="107">
        <f>D90</f>
        <v>3.3656</v>
      </c>
      <c r="G90" s="107">
        <f>3365.6/1000</f>
        <v>3.3655999999999997</v>
      </c>
      <c r="H90" s="107">
        <f>F90-G90</f>
        <v>0</v>
      </c>
      <c r="I90" s="107">
        <f>G90*100/F90</f>
        <v>99.99999999999999</v>
      </c>
      <c r="J90" s="353"/>
    </row>
    <row r="91" spans="1:10" s="357" customFormat="1" ht="18.75">
      <c r="A91" s="26" t="s">
        <v>971</v>
      </c>
      <c r="B91" s="371">
        <v>392</v>
      </c>
      <c r="C91" s="320"/>
      <c r="D91" s="107">
        <f>'[1]Фін план (2019) 4'!F96</f>
        <v>503.728</v>
      </c>
      <c r="E91" s="107">
        <f t="shared" si="21"/>
        <v>1073.2125193914176</v>
      </c>
      <c r="F91" s="107">
        <f>D91</f>
        <v>503.728</v>
      </c>
      <c r="G91" s="107">
        <f>(37011+241112+53111)/1000</f>
        <v>331.234</v>
      </c>
      <c r="H91" s="107">
        <f>F91-G91</f>
        <v>172.49400000000003</v>
      </c>
      <c r="I91" s="107">
        <f>G91*100/F91</f>
        <v>65.7565193914176</v>
      </c>
      <c r="J91" s="353"/>
    </row>
    <row r="92" spans="1:10" s="357" customFormat="1" ht="18.75">
      <c r="A92" s="26" t="s">
        <v>161</v>
      </c>
      <c r="B92" s="371">
        <v>393</v>
      </c>
      <c r="C92" s="320"/>
      <c r="D92" s="107">
        <f>'[1]Фін план (2019) 4'!F97</f>
        <v>10.22854</v>
      </c>
      <c r="E92" s="107">
        <f t="shared" si="21"/>
        <v>124.54847525289044</v>
      </c>
      <c r="F92" s="107">
        <f>D92</f>
        <v>10.22854</v>
      </c>
      <c r="G92" s="107">
        <f>(180.83+8587.4+1878.8)/1000</f>
        <v>10.647029999999999</v>
      </c>
      <c r="H92" s="107">
        <f>F92-G92</f>
        <v>-0.4184899999999985</v>
      </c>
      <c r="I92" s="107">
        <f>G92*100/F92</f>
        <v>104.09139525289044</v>
      </c>
      <c r="J92" s="353"/>
    </row>
    <row r="93" spans="1:10" s="357" customFormat="1" ht="18.75">
      <c r="A93" s="23" t="s">
        <v>972</v>
      </c>
      <c r="B93" s="370">
        <v>400</v>
      </c>
      <c r="C93" s="320"/>
      <c r="D93" s="107">
        <f>'[1]Фін план (2019) 4'!F98</f>
        <v>36.4</v>
      </c>
      <c r="E93" s="107">
        <f t="shared" si="21"/>
        <v>179.74387362637367</v>
      </c>
      <c r="F93" s="107">
        <f>D93</f>
        <v>36.4</v>
      </c>
      <c r="G93" s="107">
        <f>(8606.99+20547.8+5170.58+4602.2)/1000</f>
        <v>38.92757</v>
      </c>
      <c r="H93" s="107">
        <f>F93-G93</f>
        <v>-2.5275700000000043</v>
      </c>
      <c r="I93" s="107">
        <f>G93*100/F93</f>
        <v>106.94387362637364</v>
      </c>
      <c r="J93" s="353"/>
    </row>
    <row r="94" spans="1:10" s="357" customFormat="1" ht="21" customHeight="1">
      <c r="A94" s="351" t="s">
        <v>162</v>
      </c>
      <c r="B94" s="370">
        <v>410</v>
      </c>
      <c r="C94" s="356">
        <f>SUM(C95:C98)</f>
        <v>0</v>
      </c>
      <c r="D94" s="356">
        <f aca="true" t="shared" si="22" ref="D94:I94">SUM(D95:D98)</f>
        <v>0</v>
      </c>
      <c r="E94" s="356">
        <f t="shared" si="22"/>
        <v>0</v>
      </c>
      <c r="F94" s="356">
        <f t="shared" si="22"/>
        <v>0</v>
      </c>
      <c r="G94" s="356">
        <f t="shared" si="22"/>
        <v>0</v>
      </c>
      <c r="H94" s="356">
        <f t="shared" si="22"/>
        <v>0</v>
      </c>
      <c r="I94" s="356">
        <f t="shared" si="22"/>
        <v>0</v>
      </c>
      <c r="J94" s="353"/>
    </row>
    <row r="95" spans="1:10" s="357" customFormat="1" ht="18.75">
      <c r="A95" s="354" t="s">
        <v>159</v>
      </c>
      <c r="B95" s="371">
        <v>411</v>
      </c>
      <c r="C95" s="320"/>
      <c r="D95" s="107">
        <f>'[1]Фін план (2019) 4'!F100</f>
        <v>0</v>
      </c>
      <c r="E95" s="107">
        <f t="shared" si="21"/>
        <v>0</v>
      </c>
      <c r="F95" s="107"/>
      <c r="G95" s="107"/>
      <c r="H95" s="107"/>
      <c r="I95" s="107"/>
      <c r="J95" s="353"/>
    </row>
    <row r="96" spans="1:10" s="357" customFormat="1" ht="18.75">
      <c r="A96" s="354" t="s">
        <v>160</v>
      </c>
      <c r="B96" s="371">
        <v>412</v>
      </c>
      <c r="C96" s="320"/>
      <c r="D96" s="107">
        <f>'[1]Фін план (2019) 4'!F101</f>
        <v>0</v>
      </c>
      <c r="E96" s="107">
        <f t="shared" si="21"/>
        <v>0</v>
      </c>
      <c r="F96" s="107"/>
      <c r="G96" s="107"/>
      <c r="H96" s="107"/>
      <c r="I96" s="107"/>
      <c r="J96" s="353"/>
    </row>
    <row r="97" spans="1:10" s="357" customFormat="1" ht="18.75">
      <c r="A97" s="354" t="s">
        <v>161</v>
      </c>
      <c r="B97" s="371">
        <v>413</v>
      </c>
      <c r="C97" s="320"/>
      <c r="D97" s="107">
        <f>'[1]Фін план (2019) 4'!F102</f>
        <v>0</v>
      </c>
      <c r="E97" s="107">
        <f t="shared" si="21"/>
        <v>0</v>
      </c>
      <c r="F97" s="107"/>
      <c r="G97" s="107"/>
      <c r="H97" s="107"/>
      <c r="I97" s="107"/>
      <c r="J97" s="353"/>
    </row>
    <row r="98" spans="1:10" s="357" customFormat="1" ht="18.75">
      <c r="A98" s="351" t="s">
        <v>133</v>
      </c>
      <c r="B98" s="370">
        <v>420</v>
      </c>
      <c r="C98" s="320"/>
      <c r="D98" s="107">
        <f>'[1]Фін план (2019) 4'!F103</f>
        <v>0</v>
      </c>
      <c r="E98" s="107">
        <f t="shared" si="21"/>
        <v>0</v>
      </c>
      <c r="F98" s="107"/>
      <c r="G98" s="107"/>
      <c r="H98" s="107"/>
      <c r="I98" s="107"/>
      <c r="J98" s="353"/>
    </row>
    <row r="99" spans="1:10" ht="18.75">
      <c r="A99" s="366" t="s">
        <v>163</v>
      </c>
      <c r="B99" s="372">
        <v>500</v>
      </c>
      <c r="C99" s="373">
        <f>C30+C31+C32</f>
        <v>12159.910000000002</v>
      </c>
      <c r="D99" s="373">
        <f>D30+D31+D32</f>
        <v>34153.75473</v>
      </c>
      <c r="E99" s="373">
        <f>E30+E31+E32</f>
        <v>63253.668327497195</v>
      </c>
      <c r="F99" s="373">
        <f>F30+F31+F32</f>
        <v>34153.75473</v>
      </c>
      <c r="G99" s="373">
        <f>G30+G31+G32</f>
        <v>33606.29736</v>
      </c>
      <c r="H99" s="373">
        <f>F99-G99</f>
        <v>547.4573700000037</v>
      </c>
      <c r="I99" s="373">
        <f>G99*100/F99</f>
        <v>98.39707998629173</v>
      </c>
      <c r="J99" s="353"/>
    </row>
    <row r="100" spans="1:10" ht="18.75">
      <c r="A100" s="366" t="s">
        <v>164</v>
      </c>
      <c r="B100" s="372">
        <v>600</v>
      </c>
      <c r="C100" s="373">
        <f>C77+C81</f>
        <v>-12159.91</v>
      </c>
      <c r="D100" s="373">
        <f>D77+D81+D89+D79-D91</f>
        <v>-34103.760590000005</v>
      </c>
      <c r="E100" s="373">
        <f>E77+E81+E89+E79-E91</f>
        <v>-61675.3809653047</v>
      </c>
      <c r="F100" s="373">
        <f>F77+F81+F89+F79-F91</f>
        <v>-34103.760590000005</v>
      </c>
      <c r="G100" s="373">
        <f>G77+G81+G89+G79-G91</f>
        <v>-33585.42316</v>
      </c>
      <c r="H100" s="373">
        <f>F100-G100</f>
        <v>-518.3374300000069</v>
      </c>
      <c r="I100" s="373">
        <f>G100*100/F100</f>
        <v>98.48011650025482</v>
      </c>
      <c r="J100" s="353"/>
    </row>
    <row r="101" spans="1:10" ht="18.75">
      <c r="A101" s="351" t="s">
        <v>165</v>
      </c>
      <c r="B101" s="352">
        <v>650</v>
      </c>
      <c r="C101" s="320">
        <f aca="true" t="shared" si="23" ref="C101:I101">C99+C100</f>
        <v>0</v>
      </c>
      <c r="D101" s="107">
        <f t="shared" si="23"/>
        <v>49.99413999999524</v>
      </c>
      <c r="E101" s="107">
        <f t="shared" si="23"/>
        <v>1578.2873621924955</v>
      </c>
      <c r="F101" s="107">
        <f t="shared" si="23"/>
        <v>49.99413999999524</v>
      </c>
      <c r="G101" s="107">
        <f t="shared" si="23"/>
        <v>20.874199999998382</v>
      </c>
      <c r="H101" s="107">
        <f t="shared" si="23"/>
        <v>29.11993999999686</v>
      </c>
      <c r="I101" s="107">
        <f t="shared" si="23"/>
        <v>196.87719648654655</v>
      </c>
      <c r="J101" s="353"/>
    </row>
    <row r="102" spans="1:10" ht="15" customHeight="1">
      <c r="A102" s="349" t="s">
        <v>166</v>
      </c>
      <c r="B102" s="112"/>
      <c r="C102" s="330" t="s">
        <v>170</v>
      </c>
      <c r="D102" s="112"/>
      <c r="E102" s="115" t="s">
        <v>167</v>
      </c>
      <c r="F102" s="115" t="s">
        <v>168</v>
      </c>
      <c r="G102" s="115" t="s">
        <v>169</v>
      </c>
      <c r="H102" s="115" t="s">
        <v>170</v>
      </c>
      <c r="I102" s="115" t="s">
        <v>171</v>
      </c>
      <c r="J102" s="374"/>
    </row>
    <row r="103" spans="1:10" ht="18.75">
      <c r="A103" s="351" t="s">
        <v>172</v>
      </c>
      <c r="B103" s="352">
        <v>700</v>
      </c>
      <c r="C103" s="320">
        <v>207</v>
      </c>
      <c r="D103" s="111"/>
      <c r="E103" s="111"/>
      <c r="F103" s="111"/>
      <c r="G103" s="107">
        <v>207</v>
      </c>
      <c r="H103" s="107">
        <v>207</v>
      </c>
      <c r="I103" s="107">
        <v>207</v>
      </c>
      <c r="J103" s="374"/>
    </row>
    <row r="104" spans="1:10" ht="18.75">
      <c r="A104" s="351" t="s">
        <v>173</v>
      </c>
      <c r="B104" s="352">
        <v>710</v>
      </c>
      <c r="C104" s="25">
        <v>5451.57</v>
      </c>
      <c r="D104" s="111"/>
      <c r="E104" s="111"/>
      <c r="F104" s="111"/>
      <c r="G104" s="111">
        <v>5451.57</v>
      </c>
      <c r="H104" s="111">
        <v>5451.57</v>
      </c>
      <c r="I104" s="111">
        <f>H104</f>
        <v>5451.57</v>
      </c>
      <c r="J104" s="374"/>
    </row>
    <row r="105" spans="1:10" ht="18.75">
      <c r="A105" s="351" t="s">
        <v>174</v>
      </c>
      <c r="B105" s="352">
        <v>720</v>
      </c>
      <c r="C105" s="111"/>
      <c r="D105" s="111"/>
      <c r="E105" s="111"/>
      <c r="F105" s="111"/>
      <c r="G105" s="111"/>
      <c r="H105" s="111">
        <v>0</v>
      </c>
      <c r="I105" s="111">
        <v>0</v>
      </c>
      <c r="J105" s="374"/>
    </row>
    <row r="106" spans="1:10" ht="18.75">
      <c r="A106" s="351" t="s">
        <v>175</v>
      </c>
      <c r="B106" s="352">
        <v>730</v>
      </c>
      <c r="C106" s="111"/>
      <c r="D106" s="111"/>
      <c r="E106" s="111"/>
      <c r="F106" s="111"/>
      <c r="G106" s="111"/>
      <c r="H106" s="111">
        <v>0</v>
      </c>
      <c r="I106" s="111">
        <v>0</v>
      </c>
      <c r="J106" s="374"/>
    </row>
    <row r="107" spans="1:10" ht="18.75">
      <c r="A107" s="375"/>
      <c r="B107" s="376"/>
      <c r="C107" s="116"/>
      <c r="D107" s="116"/>
      <c r="E107" s="116"/>
      <c r="F107" s="116"/>
      <c r="G107" s="116"/>
      <c r="H107" s="116"/>
      <c r="I107" s="116"/>
      <c r="J107" s="374"/>
    </row>
    <row r="108" spans="1:10" ht="18.75">
      <c r="A108" s="375"/>
      <c r="B108" s="376"/>
      <c r="C108" s="116"/>
      <c r="D108" s="116"/>
      <c r="E108" s="116"/>
      <c r="F108" s="116"/>
      <c r="G108" s="116"/>
      <c r="H108" s="116"/>
      <c r="I108" s="116"/>
      <c r="J108" s="374"/>
    </row>
    <row r="109" spans="1:10" ht="18.75">
      <c r="A109" s="375"/>
      <c r="B109" s="376"/>
      <c r="C109" s="116"/>
      <c r="D109" s="116"/>
      <c r="E109" s="116"/>
      <c r="F109" s="116"/>
      <c r="G109" s="116"/>
      <c r="H109" s="116"/>
      <c r="I109" s="116"/>
      <c r="J109" s="374"/>
    </row>
    <row r="110" spans="1:10" ht="18.75">
      <c r="A110" s="375"/>
      <c r="B110" s="376"/>
      <c r="C110" s="116"/>
      <c r="D110" s="116"/>
      <c r="E110" s="116"/>
      <c r="F110" s="116"/>
      <c r="G110" s="116"/>
      <c r="H110" s="116"/>
      <c r="I110" s="116"/>
      <c r="J110" s="374"/>
    </row>
    <row r="111" spans="1:10" ht="18.75">
      <c r="A111" s="375"/>
      <c r="B111" s="376"/>
      <c r="C111" s="116"/>
      <c r="D111" s="116"/>
      <c r="E111" s="116"/>
      <c r="F111" s="116"/>
      <c r="G111" s="116"/>
      <c r="H111" s="116"/>
      <c r="I111" s="116"/>
      <c r="J111" s="374"/>
    </row>
    <row r="112" spans="1:10" ht="18.75">
      <c r="A112" s="375"/>
      <c r="B112" s="376"/>
      <c r="C112" s="116"/>
      <c r="D112" s="116"/>
      <c r="E112" s="116"/>
      <c r="F112" s="116"/>
      <c r="G112" s="116"/>
      <c r="H112" s="116"/>
      <c r="I112" s="116"/>
      <c r="J112" s="374"/>
    </row>
    <row r="113" spans="1:10" ht="18.75">
      <c r="A113" s="375"/>
      <c r="B113" s="376"/>
      <c r="C113" s="116"/>
      <c r="D113" s="116"/>
      <c r="E113" s="116"/>
      <c r="F113" s="116"/>
      <c r="G113" s="116"/>
      <c r="H113" s="116"/>
      <c r="I113" s="116"/>
      <c r="J113" s="374"/>
    </row>
    <row r="114" spans="1:9" ht="18.75">
      <c r="A114" s="375"/>
      <c r="C114" s="377"/>
      <c r="D114" s="117"/>
      <c r="E114" s="117"/>
      <c r="F114" s="117"/>
      <c r="G114" s="117"/>
      <c r="H114" s="117"/>
      <c r="I114" s="117"/>
    </row>
    <row r="115" spans="1:9" ht="18.75">
      <c r="A115" s="378" t="s">
        <v>973</v>
      </c>
      <c r="B115" s="376"/>
      <c r="C115" s="451" t="s">
        <v>176</v>
      </c>
      <c r="D115" s="451"/>
      <c r="E115" s="451"/>
      <c r="F115" s="118"/>
      <c r="G115" s="434" t="s">
        <v>963</v>
      </c>
      <c r="H115" s="434"/>
      <c r="I115" s="434"/>
    </row>
    <row r="116" spans="1:9" s="381" customFormat="1" ht="12.75">
      <c r="A116" s="379" t="s">
        <v>177</v>
      </c>
      <c r="B116" s="380"/>
      <c r="C116" s="452" t="s">
        <v>178</v>
      </c>
      <c r="D116" s="452"/>
      <c r="E116" s="452"/>
      <c r="F116" s="119"/>
      <c r="G116" s="453" t="s">
        <v>179</v>
      </c>
      <c r="H116" s="453"/>
      <c r="I116" s="453"/>
    </row>
    <row r="117" spans="1:9" ht="18.75">
      <c r="A117" s="375"/>
      <c r="C117" s="377"/>
      <c r="D117" s="117"/>
      <c r="E117" s="117"/>
      <c r="F117" s="117"/>
      <c r="G117" s="117"/>
      <c r="H117" s="117"/>
      <c r="I117" s="117"/>
    </row>
    <row r="118" spans="1:9" ht="18.75">
      <c r="A118" s="375"/>
      <c r="C118" s="377"/>
      <c r="D118" s="117"/>
      <c r="E118" s="117"/>
      <c r="F118" s="117"/>
      <c r="G118" s="117"/>
      <c r="H118" s="117"/>
      <c r="I118" s="117"/>
    </row>
    <row r="119" spans="1:9" ht="18.75">
      <c r="A119" s="375"/>
      <c r="C119" s="377"/>
      <c r="D119" s="117"/>
      <c r="E119" s="117"/>
      <c r="F119" s="117"/>
      <c r="G119" s="117"/>
      <c r="H119" s="117"/>
      <c r="I119" s="117"/>
    </row>
    <row r="120" spans="1:9" ht="18.75">
      <c r="A120" s="375"/>
      <c r="C120" s="377"/>
      <c r="D120" s="117"/>
      <c r="E120" s="117"/>
      <c r="F120" s="117"/>
      <c r="G120" s="117"/>
      <c r="H120" s="117"/>
      <c r="I120" s="117"/>
    </row>
    <row r="121" spans="1:9" ht="18.75">
      <c r="A121" s="375"/>
      <c r="C121" s="377"/>
      <c r="D121" s="117"/>
      <c r="E121" s="117"/>
      <c r="F121" s="117"/>
      <c r="G121" s="117"/>
      <c r="H121" s="117"/>
      <c r="I121" s="117"/>
    </row>
    <row r="122" spans="1:9" ht="18.75">
      <c r="A122" s="375"/>
      <c r="C122" s="377"/>
      <c r="D122" s="117"/>
      <c r="E122" s="117"/>
      <c r="F122" s="117"/>
      <c r="G122" s="117"/>
      <c r="H122" s="117"/>
      <c r="I122" s="117"/>
    </row>
    <row r="123" spans="1:9" ht="18.75">
      <c r="A123" s="375"/>
      <c r="C123" s="377"/>
      <c r="D123" s="117"/>
      <c r="E123" s="117"/>
      <c r="F123" s="117"/>
      <c r="G123" s="117"/>
      <c r="H123" s="117"/>
      <c r="I123" s="117"/>
    </row>
    <row r="124" spans="1:9" ht="18.75">
      <c r="A124" s="375"/>
      <c r="C124" s="377"/>
      <c r="D124" s="117"/>
      <c r="E124" s="117"/>
      <c r="F124" s="117"/>
      <c r="G124" s="117"/>
      <c r="H124" s="117"/>
      <c r="I124" s="117"/>
    </row>
    <row r="125" spans="1:9" ht="18.75">
      <c r="A125" s="375"/>
      <c r="C125" s="377"/>
      <c r="D125" s="117"/>
      <c r="E125" s="117"/>
      <c r="F125" s="117"/>
      <c r="G125" s="117"/>
      <c r="H125" s="117"/>
      <c r="I125" s="117"/>
    </row>
    <row r="126" spans="1:9" ht="18.75">
      <c r="A126" s="375"/>
      <c r="C126" s="377"/>
      <c r="D126" s="117"/>
      <c r="E126" s="117"/>
      <c r="F126" s="117"/>
      <c r="G126" s="117"/>
      <c r="H126" s="117"/>
      <c r="I126" s="117"/>
    </row>
    <row r="127" spans="1:9" ht="18.75">
      <c r="A127" s="375"/>
      <c r="C127" s="377"/>
      <c r="D127" s="117"/>
      <c r="E127" s="117"/>
      <c r="F127" s="117"/>
      <c r="G127" s="117"/>
      <c r="H127" s="117"/>
      <c r="I127" s="117"/>
    </row>
    <row r="128" spans="1:9" ht="18.75">
      <c r="A128" s="375"/>
      <c r="C128" s="377"/>
      <c r="D128" s="117"/>
      <c r="E128" s="117"/>
      <c r="F128" s="117"/>
      <c r="G128" s="117"/>
      <c r="H128" s="117"/>
      <c r="I128" s="117"/>
    </row>
    <row r="129" spans="1:9" ht="18.75">
      <c r="A129" s="375"/>
      <c r="C129" s="377"/>
      <c r="D129" s="117"/>
      <c r="E129" s="117"/>
      <c r="F129" s="117"/>
      <c r="G129" s="117"/>
      <c r="H129" s="117"/>
      <c r="I129" s="117"/>
    </row>
    <row r="130" spans="1:9" ht="18.75">
      <c r="A130" s="375"/>
      <c r="C130" s="377"/>
      <c r="D130" s="117"/>
      <c r="E130" s="117"/>
      <c r="F130" s="117"/>
      <c r="G130" s="117"/>
      <c r="H130" s="117"/>
      <c r="I130" s="117"/>
    </row>
    <row r="131" spans="1:9" ht="18.75">
      <c r="A131" s="375"/>
      <c r="C131" s="377"/>
      <c r="D131" s="117"/>
      <c r="E131" s="117"/>
      <c r="F131" s="117"/>
      <c r="G131" s="117"/>
      <c r="H131" s="117"/>
      <c r="I131" s="117"/>
    </row>
    <row r="132" spans="1:9" ht="18.75">
      <c r="A132" s="375"/>
      <c r="C132" s="377"/>
      <c r="D132" s="117"/>
      <c r="E132" s="117"/>
      <c r="F132" s="117"/>
      <c r="G132" s="117"/>
      <c r="H132" s="117"/>
      <c r="I132" s="117"/>
    </row>
    <row r="133" spans="1:9" ht="18.75">
      <c r="A133" s="375"/>
      <c r="C133" s="377"/>
      <c r="D133" s="117"/>
      <c r="E133" s="117"/>
      <c r="F133" s="117"/>
      <c r="G133" s="117"/>
      <c r="H133" s="117"/>
      <c r="I133" s="117"/>
    </row>
    <row r="134" spans="1:9" ht="18.75">
      <c r="A134" s="375"/>
      <c r="C134" s="377"/>
      <c r="D134" s="117"/>
      <c r="E134" s="117"/>
      <c r="F134" s="117"/>
      <c r="G134" s="117"/>
      <c r="H134" s="117"/>
      <c r="I134" s="117"/>
    </row>
    <row r="135" spans="1:9" ht="18.75">
      <c r="A135" s="375"/>
      <c r="C135" s="377"/>
      <c r="D135" s="117"/>
      <c r="E135" s="117"/>
      <c r="F135" s="117"/>
      <c r="G135" s="117"/>
      <c r="H135" s="117"/>
      <c r="I135" s="117"/>
    </row>
    <row r="136" spans="1:9" ht="18.75">
      <c r="A136" s="375"/>
      <c r="C136" s="377"/>
      <c r="D136" s="117"/>
      <c r="E136" s="117"/>
      <c r="F136" s="117"/>
      <c r="G136" s="117"/>
      <c r="H136" s="117"/>
      <c r="I136" s="117"/>
    </row>
    <row r="137" spans="1:9" ht="18.75">
      <c r="A137" s="375"/>
      <c r="C137" s="377"/>
      <c r="D137" s="117"/>
      <c r="E137" s="117"/>
      <c r="F137" s="117"/>
      <c r="G137" s="117"/>
      <c r="H137" s="117"/>
      <c r="I137" s="117"/>
    </row>
    <row r="138" spans="1:9" ht="18.75">
      <c r="A138" s="375"/>
      <c r="C138" s="377"/>
      <c r="D138" s="117"/>
      <c r="E138" s="117"/>
      <c r="F138" s="117"/>
      <c r="G138" s="117"/>
      <c r="H138" s="117"/>
      <c r="I138" s="117"/>
    </row>
    <row r="139" spans="1:9" ht="18.75">
      <c r="A139" s="375"/>
      <c r="C139" s="377"/>
      <c r="D139" s="117"/>
      <c r="E139" s="117"/>
      <c r="F139" s="117"/>
      <c r="G139" s="117"/>
      <c r="H139" s="117"/>
      <c r="I139" s="117"/>
    </row>
    <row r="140" spans="1:9" ht="18.75">
      <c r="A140" s="375"/>
      <c r="C140" s="377"/>
      <c r="D140" s="117"/>
      <c r="E140" s="117"/>
      <c r="F140" s="117"/>
      <c r="G140" s="117"/>
      <c r="H140" s="117"/>
      <c r="I140" s="117"/>
    </row>
    <row r="141" spans="1:9" ht="18.75">
      <c r="A141" s="375"/>
      <c r="C141" s="377"/>
      <c r="D141" s="117"/>
      <c r="E141" s="117"/>
      <c r="F141" s="117"/>
      <c r="G141" s="117"/>
      <c r="H141" s="117"/>
      <c r="I141" s="117"/>
    </row>
    <row r="142" spans="1:9" ht="18.75">
      <c r="A142" s="375"/>
      <c r="C142" s="377"/>
      <c r="D142" s="117"/>
      <c r="E142" s="117"/>
      <c r="F142" s="117"/>
      <c r="G142" s="117"/>
      <c r="H142" s="117"/>
      <c r="I142" s="117"/>
    </row>
    <row r="143" spans="1:9" ht="18.75">
      <c r="A143" s="375"/>
      <c r="C143" s="377"/>
      <c r="D143" s="117"/>
      <c r="E143" s="117"/>
      <c r="F143" s="117"/>
      <c r="G143" s="117"/>
      <c r="H143" s="117"/>
      <c r="I143" s="117"/>
    </row>
    <row r="144" spans="1:9" ht="18.75">
      <c r="A144" s="375"/>
      <c r="C144" s="377"/>
      <c r="D144" s="117"/>
      <c r="E144" s="117"/>
      <c r="F144" s="117"/>
      <c r="G144" s="117"/>
      <c r="H144" s="117"/>
      <c r="I144" s="117"/>
    </row>
    <row r="145" spans="1:9" ht="18.75">
      <c r="A145" s="375"/>
      <c r="C145" s="377"/>
      <c r="D145" s="117"/>
      <c r="E145" s="117"/>
      <c r="F145" s="117"/>
      <c r="G145" s="117"/>
      <c r="H145" s="117"/>
      <c r="I145" s="117"/>
    </row>
    <row r="146" spans="1:9" ht="18.75">
      <c r="A146" s="375"/>
      <c r="C146" s="377"/>
      <c r="D146" s="117"/>
      <c r="E146" s="117"/>
      <c r="F146" s="117"/>
      <c r="G146" s="117"/>
      <c r="H146" s="117"/>
      <c r="I146" s="117"/>
    </row>
    <row r="147" spans="1:9" ht="18.75">
      <c r="A147" s="375"/>
      <c r="C147" s="377"/>
      <c r="D147" s="117"/>
      <c r="E147" s="117"/>
      <c r="F147" s="117"/>
      <c r="G147" s="117"/>
      <c r="H147" s="117"/>
      <c r="I147" s="117"/>
    </row>
    <row r="148" spans="1:9" ht="18.75">
      <c r="A148" s="375"/>
      <c r="C148" s="377"/>
      <c r="D148" s="117"/>
      <c r="E148" s="117"/>
      <c r="F148" s="117"/>
      <c r="G148" s="117"/>
      <c r="H148" s="117"/>
      <c r="I148" s="117"/>
    </row>
    <row r="149" spans="1:9" ht="18.75">
      <c r="A149" s="375"/>
      <c r="C149" s="377"/>
      <c r="D149" s="117"/>
      <c r="E149" s="117"/>
      <c r="F149" s="117"/>
      <c r="G149" s="117"/>
      <c r="H149" s="117"/>
      <c r="I149" s="117"/>
    </row>
    <row r="150" spans="1:9" ht="18.75">
      <c r="A150" s="375"/>
      <c r="C150" s="377"/>
      <c r="D150" s="117"/>
      <c r="E150" s="117"/>
      <c r="F150" s="117"/>
      <c r="G150" s="117"/>
      <c r="H150" s="117"/>
      <c r="I150" s="117"/>
    </row>
    <row r="151" spans="1:9" ht="18.75">
      <c r="A151" s="375"/>
      <c r="C151" s="377"/>
      <c r="D151" s="117"/>
      <c r="E151" s="117"/>
      <c r="F151" s="117"/>
      <c r="G151" s="117"/>
      <c r="H151" s="117"/>
      <c r="I151" s="117"/>
    </row>
    <row r="152" spans="1:9" ht="18.75">
      <c r="A152" s="375"/>
      <c r="C152" s="377"/>
      <c r="D152" s="117"/>
      <c r="E152" s="117"/>
      <c r="F152" s="117"/>
      <c r="G152" s="117"/>
      <c r="H152" s="117"/>
      <c r="I152" s="117"/>
    </row>
    <row r="153" spans="1:9" ht="18.75">
      <c r="A153" s="375"/>
      <c r="C153" s="377"/>
      <c r="D153" s="117"/>
      <c r="E153" s="117"/>
      <c r="F153" s="117"/>
      <c r="G153" s="117"/>
      <c r="H153" s="117"/>
      <c r="I153" s="117"/>
    </row>
    <row r="154" spans="1:9" ht="18.75">
      <c r="A154" s="375"/>
      <c r="C154" s="377"/>
      <c r="D154" s="117"/>
      <c r="E154" s="117"/>
      <c r="F154" s="117"/>
      <c r="G154" s="117"/>
      <c r="H154" s="117"/>
      <c r="I154" s="117"/>
    </row>
    <row r="155" spans="1:9" ht="18.75">
      <c r="A155" s="375"/>
      <c r="C155" s="377"/>
      <c r="D155" s="117"/>
      <c r="E155" s="117"/>
      <c r="F155" s="117"/>
      <c r="G155" s="117"/>
      <c r="H155" s="117"/>
      <c r="I155" s="117"/>
    </row>
    <row r="156" spans="1:9" ht="18.75">
      <c r="A156" s="375"/>
      <c r="C156" s="377"/>
      <c r="D156" s="117"/>
      <c r="E156" s="117"/>
      <c r="F156" s="117"/>
      <c r="G156" s="117"/>
      <c r="H156" s="117"/>
      <c r="I156" s="117"/>
    </row>
    <row r="157" spans="1:9" ht="18.75">
      <c r="A157" s="375"/>
      <c r="C157" s="377"/>
      <c r="D157" s="117"/>
      <c r="E157" s="117"/>
      <c r="F157" s="117"/>
      <c r="G157" s="117"/>
      <c r="H157" s="117"/>
      <c r="I157" s="117"/>
    </row>
    <row r="158" ht="18.75">
      <c r="A158" s="382"/>
    </row>
    <row r="159" ht="18.75">
      <c r="A159" s="382"/>
    </row>
    <row r="160" ht="18.75">
      <c r="A160" s="382"/>
    </row>
    <row r="161" ht="18.75">
      <c r="A161" s="382"/>
    </row>
    <row r="162" ht="18.75">
      <c r="A162" s="382"/>
    </row>
    <row r="163" ht="18.75">
      <c r="A163" s="382"/>
    </row>
    <row r="164" ht="18.75">
      <c r="A164" s="382"/>
    </row>
    <row r="165" ht="18.75">
      <c r="A165" s="382"/>
    </row>
    <row r="166" ht="18.75">
      <c r="A166" s="382"/>
    </row>
    <row r="167" ht="18.75">
      <c r="A167" s="382"/>
    </row>
    <row r="168" ht="18.75">
      <c r="A168" s="382"/>
    </row>
    <row r="169" ht="18.75">
      <c r="A169" s="382"/>
    </row>
    <row r="170" ht="18.75">
      <c r="A170" s="382"/>
    </row>
    <row r="171" ht="18.75">
      <c r="A171" s="382"/>
    </row>
    <row r="172" ht="18.75">
      <c r="A172" s="382"/>
    </row>
    <row r="173" ht="18.75">
      <c r="A173" s="382"/>
    </row>
    <row r="174" ht="18.75">
      <c r="A174" s="382"/>
    </row>
    <row r="175" ht="18.75">
      <c r="A175" s="382"/>
    </row>
    <row r="176" ht="18.75">
      <c r="A176" s="382"/>
    </row>
    <row r="177" ht="18.75">
      <c r="A177" s="382"/>
    </row>
    <row r="178" ht="18.75">
      <c r="A178" s="382"/>
    </row>
    <row r="179" ht="18.75">
      <c r="A179" s="382"/>
    </row>
    <row r="180" ht="18.75">
      <c r="A180" s="382"/>
    </row>
    <row r="181" ht="18.75">
      <c r="A181" s="382"/>
    </row>
    <row r="182" ht="18.75">
      <c r="A182" s="382"/>
    </row>
    <row r="183" ht="18.75">
      <c r="A183" s="382"/>
    </row>
    <row r="184" ht="18.75">
      <c r="A184" s="382"/>
    </row>
    <row r="185" ht="18.75">
      <c r="A185" s="382"/>
    </row>
    <row r="186" ht="18.75">
      <c r="A186" s="382"/>
    </row>
    <row r="187" ht="18.75">
      <c r="A187" s="382"/>
    </row>
    <row r="188" ht="18.75">
      <c r="A188" s="382"/>
    </row>
    <row r="189" ht="18.75">
      <c r="A189" s="382"/>
    </row>
    <row r="190" ht="18.75">
      <c r="A190" s="382"/>
    </row>
    <row r="191" ht="18.75">
      <c r="A191" s="382"/>
    </row>
    <row r="192" ht="18.75">
      <c r="A192" s="382"/>
    </row>
    <row r="193" ht="18.75">
      <c r="A193" s="382"/>
    </row>
    <row r="194" ht="18.75">
      <c r="A194" s="382"/>
    </row>
    <row r="195" ht="18.75">
      <c r="A195" s="382"/>
    </row>
    <row r="196" ht="18.75">
      <c r="A196" s="382"/>
    </row>
    <row r="197" ht="18.75">
      <c r="A197" s="382"/>
    </row>
    <row r="198" ht="18.75">
      <c r="A198" s="382"/>
    </row>
    <row r="199" ht="18.75">
      <c r="A199" s="382"/>
    </row>
    <row r="200" ht="18.75">
      <c r="A200" s="382"/>
    </row>
    <row r="201" ht="18.75">
      <c r="A201" s="382"/>
    </row>
    <row r="202" ht="18.75">
      <c r="A202" s="382"/>
    </row>
    <row r="203" ht="18.75">
      <c r="A203" s="382"/>
    </row>
    <row r="204" ht="18.75">
      <c r="A204" s="382"/>
    </row>
    <row r="205" ht="18.75">
      <c r="A205" s="382"/>
    </row>
    <row r="206" ht="18.75">
      <c r="A206" s="382"/>
    </row>
    <row r="207" ht="18.75">
      <c r="A207" s="382"/>
    </row>
    <row r="208" ht="18.75">
      <c r="A208" s="382"/>
    </row>
    <row r="209" ht="18.75">
      <c r="A209" s="382"/>
    </row>
    <row r="210" ht="18.75">
      <c r="A210" s="382"/>
    </row>
    <row r="211" ht="18.75">
      <c r="A211" s="382"/>
    </row>
    <row r="212" ht="18.75">
      <c r="A212" s="382"/>
    </row>
    <row r="213" ht="18.75">
      <c r="A213" s="382"/>
    </row>
    <row r="214" ht="18.75">
      <c r="A214" s="382"/>
    </row>
    <row r="215" ht="18.75">
      <c r="A215" s="382"/>
    </row>
    <row r="216" ht="18.75">
      <c r="A216" s="382"/>
    </row>
    <row r="217" ht="18.75">
      <c r="A217" s="382"/>
    </row>
    <row r="218" ht="18.75">
      <c r="A218" s="382"/>
    </row>
    <row r="219" ht="18.75">
      <c r="A219" s="382"/>
    </row>
    <row r="220" ht="18.75">
      <c r="A220" s="382"/>
    </row>
    <row r="221" ht="18.75">
      <c r="A221" s="382"/>
    </row>
    <row r="222" ht="18.75">
      <c r="A222" s="382"/>
    </row>
    <row r="223" ht="18.75">
      <c r="A223" s="382"/>
    </row>
    <row r="224" ht="18.75">
      <c r="A224" s="382"/>
    </row>
    <row r="225" ht="18.75">
      <c r="A225" s="382"/>
    </row>
    <row r="226" ht="18.75">
      <c r="A226" s="382"/>
    </row>
    <row r="227" ht="18.75">
      <c r="A227" s="382"/>
    </row>
    <row r="228" ht="18.75">
      <c r="A228" s="382"/>
    </row>
    <row r="229" ht="18.75">
      <c r="A229" s="382"/>
    </row>
    <row r="230" ht="18.75">
      <c r="A230" s="382"/>
    </row>
    <row r="231" ht="18.75">
      <c r="A231" s="382"/>
    </row>
    <row r="232" ht="18.75">
      <c r="A232" s="382"/>
    </row>
    <row r="233" ht="18.75">
      <c r="A233" s="382"/>
    </row>
    <row r="234" ht="18.75">
      <c r="A234" s="382"/>
    </row>
    <row r="235" ht="18.75">
      <c r="A235" s="382"/>
    </row>
    <row r="236" ht="18.75">
      <c r="A236" s="382"/>
    </row>
    <row r="237" ht="18.75">
      <c r="A237" s="382"/>
    </row>
    <row r="238" ht="18.75">
      <c r="A238" s="382"/>
    </row>
    <row r="239" ht="18.75">
      <c r="A239" s="382"/>
    </row>
    <row r="240" ht="18.75">
      <c r="A240" s="382"/>
    </row>
    <row r="241" ht="18.75">
      <c r="A241" s="382"/>
    </row>
    <row r="242" ht="18.75">
      <c r="A242" s="382"/>
    </row>
    <row r="243" ht="18.75">
      <c r="A243" s="382"/>
    </row>
    <row r="244" ht="18.75">
      <c r="A244" s="382"/>
    </row>
    <row r="245" ht="18.75">
      <c r="A245" s="382"/>
    </row>
    <row r="246" ht="18.75">
      <c r="A246" s="382"/>
    </row>
    <row r="247" ht="18.75">
      <c r="A247" s="382"/>
    </row>
    <row r="248" ht="18.75">
      <c r="A248" s="382"/>
    </row>
    <row r="249" ht="18.75">
      <c r="A249" s="382"/>
    </row>
    <row r="250" ht="18.75">
      <c r="A250" s="382"/>
    </row>
    <row r="251" ht="18.75">
      <c r="A251" s="382"/>
    </row>
    <row r="252" ht="18.75">
      <c r="A252" s="382"/>
    </row>
    <row r="253" ht="18.75">
      <c r="A253" s="382"/>
    </row>
    <row r="254" ht="18.75">
      <c r="A254" s="382"/>
    </row>
    <row r="255" ht="18.75">
      <c r="A255" s="382"/>
    </row>
    <row r="256" ht="18.75">
      <c r="A256" s="382"/>
    </row>
    <row r="257" ht="18.75">
      <c r="A257" s="382"/>
    </row>
    <row r="258" ht="18.75">
      <c r="A258" s="382"/>
    </row>
    <row r="259" ht="18.75">
      <c r="A259" s="382"/>
    </row>
    <row r="260" ht="18.75">
      <c r="A260" s="382"/>
    </row>
    <row r="261" ht="18.75">
      <c r="A261" s="382"/>
    </row>
    <row r="262" ht="18.75">
      <c r="A262" s="382"/>
    </row>
    <row r="263" ht="18.75">
      <c r="A263" s="382"/>
    </row>
    <row r="264" ht="18.75">
      <c r="A264" s="382"/>
    </row>
    <row r="265" ht="18.75">
      <c r="A265" s="382"/>
    </row>
    <row r="266" ht="18.75">
      <c r="A266" s="382"/>
    </row>
    <row r="267" ht="18.75">
      <c r="A267" s="382"/>
    </row>
    <row r="268" ht="18.75">
      <c r="A268" s="382"/>
    </row>
    <row r="269" ht="18.75">
      <c r="A269" s="382"/>
    </row>
    <row r="270" ht="18.75">
      <c r="A270" s="382"/>
    </row>
    <row r="271" ht="18.75">
      <c r="A271" s="382"/>
    </row>
    <row r="272" ht="18.75">
      <c r="A272" s="382"/>
    </row>
    <row r="273" ht="18.75">
      <c r="A273" s="382"/>
    </row>
    <row r="274" ht="18.75">
      <c r="A274" s="382"/>
    </row>
    <row r="275" ht="18.75">
      <c r="A275" s="382"/>
    </row>
    <row r="276" ht="18.75">
      <c r="A276" s="382"/>
    </row>
    <row r="277" ht="18.75">
      <c r="A277" s="382"/>
    </row>
    <row r="278" ht="18.75">
      <c r="A278" s="382"/>
    </row>
    <row r="279" ht="18.75">
      <c r="A279" s="382"/>
    </row>
    <row r="280" ht="18.75">
      <c r="A280" s="382"/>
    </row>
    <row r="281" ht="18.75">
      <c r="A281" s="382"/>
    </row>
    <row r="282" ht="18.75">
      <c r="A282" s="382"/>
    </row>
    <row r="283" ht="18.75">
      <c r="A283" s="382"/>
    </row>
    <row r="284" ht="18.75">
      <c r="A284" s="382"/>
    </row>
    <row r="285" ht="18.75">
      <c r="A285" s="382"/>
    </row>
    <row r="286" ht="18.75">
      <c r="A286" s="382"/>
    </row>
    <row r="287" ht="18.75">
      <c r="A287" s="382"/>
    </row>
    <row r="288" ht="18.75">
      <c r="A288" s="382"/>
    </row>
    <row r="289" ht="18.75">
      <c r="A289" s="382"/>
    </row>
    <row r="290" ht="18.75">
      <c r="A290" s="382"/>
    </row>
    <row r="291" ht="18.75">
      <c r="A291" s="382"/>
    </row>
    <row r="292" ht="18.75">
      <c r="A292" s="382"/>
    </row>
    <row r="293" ht="18.75">
      <c r="A293" s="382"/>
    </row>
    <row r="294" ht="18.75">
      <c r="A294" s="382"/>
    </row>
    <row r="295" ht="18.75">
      <c r="A295" s="382"/>
    </row>
    <row r="296" ht="18.75">
      <c r="A296" s="382"/>
    </row>
    <row r="297" ht="18.75">
      <c r="A297" s="382"/>
    </row>
    <row r="298" ht="18.75">
      <c r="A298" s="382"/>
    </row>
    <row r="299" ht="18.75">
      <c r="A299" s="382"/>
    </row>
    <row r="300" ht="18.75">
      <c r="A300" s="382"/>
    </row>
    <row r="301" ht="18.75">
      <c r="A301" s="382"/>
    </row>
    <row r="302" ht="18.75">
      <c r="A302" s="382"/>
    </row>
    <row r="303" ht="18.75">
      <c r="A303" s="382"/>
    </row>
    <row r="304" ht="18.75">
      <c r="A304" s="382"/>
    </row>
    <row r="305" ht="18.75">
      <c r="A305" s="382"/>
    </row>
    <row r="306" ht="18.75">
      <c r="A306" s="382"/>
    </row>
    <row r="307" ht="18.75">
      <c r="A307" s="382"/>
    </row>
    <row r="308" ht="18.75">
      <c r="A308" s="382"/>
    </row>
    <row r="309" ht="18.75">
      <c r="A309" s="382"/>
    </row>
    <row r="310" ht="18.75">
      <c r="A310" s="382"/>
    </row>
    <row r="311" ht="18.75">
      <c r="A311" s="382"/>
    </row>
    <row r="312" ht="18.75">
      <c r="A312" s="382"/>
    </row>
    <row r="313" ht="18.75">
      <c r="A313" s="382"/>
    </row>
    <row r="314" ht="18.75">
      <c r="A314" s="382"/>
    </row>
    <row r="315" ht="18.75">
      <c r="A315" s="382"/>
    </row>
    <row r="316" ht="18.75">
      <c r="A316" s="382"/>
    </row>
    <row r="317" ht="18.75">
      <c r="A317" s="382"/>
    </row>
    <row r="318" ht="18.75">
      <c r="A318" s="382"/>
    </row>
    <row r="319" ht="18.75">
      <c r="A319" s="382"/>
    </row>
    <row r="320" ht="18.75">
      <c r="A320" s="382"/>
    </row>
    <row r="321" ht="18.75">
      <c r="A321" s="382"/>
    </row>
    <row r="322" ht="18.75">
      <c r="A322" s="382"/>
    </row>
    <row r="323" ht="18.75">
      <c r="A323" s="382"/>
    </row>
    <row r="324" ht="18.75">
      <c r="A324" s="382"/>
    </row>
  </sheetData>
  <sheetProtection/>
  <mergeCells count="29">
    <mergeCell ref="B7:E7"/>
    <mergeCell ref="H7:I7"/>
    <mergeCell ref="B8:F8"/>
    <mergeCell ref="B9:E9"/>
    <mergeCell ref="B10:E10"/>
    <mergeCell ref="B11:E11"/>
    <mergeCell ref="B12:E12"/>
    <mergeCell ref="B13:E13"/>
    <mergeCell ref="B14:E14"/>
    <mergeCell ref="F14:H14"/>
    <mergeCell ref="B15:E15"/>
    <mergeCell ref="F15:H15"/>
    <mergeCell ref="F25:I25"/>
    <mergeCell ref="B16:E16"/>
    <mergeCell ref="B17:I17"/>
    <mergeCell ref="B18:E18"/>
    <mergeCell ref="B19:E19"/>
    <mergeCell ref="A21:I21"/>
    <mergeCell ref="A22:I22"/>
    <mergeCell ref="J25:J26"/>
    <mergeCell ref="C115:E115"/>
    <mergeCell ref="G115:I115"/>
    <mergeCell ref="C116:E116"/>
    <mergeCell ref="G116:I116"/>
    <mergeCell ref="A23:I23"/>
    <mergeCell ref="A25:A26"/>
    <mergeCell ref="B25:B26"/>
    <mergeCell ref="C25:D25"/>
    <mergeCell ref="E25:E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19"/>
  <sheetViews>
    <sheetView zoomScale="150" zoomScaleNormal="150" zoomScalePageLayoutView="0" workbookViewId="0" topLeftCell="A15">
      <selection activeCell="H46" sqref="H46"/>
    </sheetView>
  </sheetViews>
  <sheetFormatPr defaultColWidth="9.140625" defaultRowHeight="15"/>
  <cols>
    <col min="1" max="1" width="71.140625" style="12" customWidth="1"/>
    <col min="2" max="2" width="7.8515625" style="13" customWidth="1"/>
    <col min="3" max="4" width="10.421875" style="13" customWidth="1"/>
    <col min="5" max="5" width="12.7109375" style="12" hidden="1" customWidth="1"/>
    <col min="6" max="7" width="12.7109375" style="12" customWidth="1"/>
    <col min="8" max="8" width="15.421875" style="307" customWidth="1"/>
    <col min="9" max="9" width="16.28125" style="307" customWidth="1"/>
    <col min="10" max="10" width="82.7109375" style="12" hidden="1" customWidth="1"/>
    <col min="11" max="11" width="9.140625" style="12" customWidth="1"/>
    <col min="12" max="12" width="9.7109375" style="12" bestFit="1" customWidth="1"/>
    <col min="13" max="16384" width="9.140625" style="12" customWidth="1"/>
  </cols>
  <sheetData>
    <row r="1" ht="18.75">
      <c r="F1" s="12" t="s">
        <v>60</v>
      </c>
    </row>
    <row r="2" ht="18.75">
      <c r="F2" s="12" t="s">
        <v>61</v>
      </c>
    </row>
    <row r="3" ht="18" customHeight="1">
      <c r="F3" s="12" t="s">
        <v>934</v>
      </c>
    </row>
    <row r="4" ht="12" customHeight="1" hidden="1"/>
    <row r="5" spans="6:9" ht="18.75" hidden="1">
      <c r="F5" s="12" t="s">
        <v>62</v>
      </c>
      <c r="I5" s="307" t="s">
        <v>63</v>
      </c>
    </row>
    <row r="6" ht="12.75" customHeight="1"/>
    <row r="7" spans="2:9" ht="18.75">
      <c r="B7" s="474"/>
      <c r="C7" s="474"/>
      <c r="D7" s="474"/>
      <c r="E7" s="474"/>
      <c r="H7" s="409" t="s">
        <v>70</v>
      </c>
      <c r="I7" s="410"/>
    </row>
    <row r="8" spans="1:9" ht="69" customHeight="1">
      <c r="A8" s="16" t="s">
        <v>71</v>
      </c>
      <c r="B8" s="413" t="s">
        <v>72</v>
      </c>
      <c r="C8" s="413"/>
      <c r="D8" s="413"/>
      <c r="E8" s="413"/>
      <c r="F8" s="413"/>
      <c r="G8" s="309"/>
      <c r="H8" s="96" t="s">
        <v>73</v>
      </c>
      <c r="I8" s="303">
        <v>39007143</v>
      </c>
    </row>
    <row r="9" spans="1:9" ht="18.75" customHeight="1">
      <c r="A9" s="16" t="s">
        <v>74</v>
      </c>
      <c r="B9" s="475" t="s">
        <v>75</v>
      </c>
      <c r="C9" s="475"/>
      <c r="D9" s="475"/>
      <c r="E9" s="475"/>
      <c r="F9" s="310"/>
      <c r="G9" s="311"/>
      <c r="H9" s="96" t="s">
        <v>76</v>
      </c>
      <c r="I9" s="303">
        <v>150</v>
      </c>
    </row>
    <row r="10" spans="1:9" ht="18.75">
      <c r="A10" s="16" t="s">
        <v>77</v>
      </c>
      <c r="B10" s="414" t="s">
        <v>78</v>
      </c>
      <c r="C10" s="414"/>
      <c r="D10" s="414"/>
      <c r="E10" s="414"/>
      <c r="F10" s="310"/>
      <c r="G10" s="311"/>
      <c r="H10" s="96" t="s">
        <v>79</v>
      </c>
      <c r="I10" s="303">
        <v>2610600000</v>
      </c>
    </row>
    <row r="11" spans="1:9" ht="18.75">
      <c r="A11" s="16" t="s">
        <v>80</v>
      </c>
      <c r="B11" s="414"/>
      <c r="C11" s="414"/>
      <c r="D11" s="414"/>
      <c r="E11" s="414"/>
      <c r="F11" s="312"/>
      <c r="G11" s="309"/>
      <c r="H11" s="96" t="s">
        <v>81</v>
      </c>
      <c r="I11" s="303"/>
    </row>
    <row r="12" spans="1:9" ht="18.75">
      <c r="A12" s="16" t="s">
        <v>82</v>
      </c>
      <c r="B12" s="414"/>
      <c r="C12" s="414"/>
      <c r="D12" s="414"/>
      <c r="E12" s="414"/>
      <c r="F12" s="312"/>
      <c r="G12" s="309"/>
      <c r="H12" s="96" t="s">
        <v>83</v>
      </c>
      <c r="I12" s="303"/>
    </row>
    <row r="13" spans="1:9" ht="18.75">
      <c r="A13" s="16" t="s">
        <v>84</v>
      </c>
      <c r="B13" s="414"/>
      <c r="C13" s="414"/>
      <c r="D13" s="414"/>
      <c r="E13" s="414"/>
      <c r="F13" s="312"/>
      <c r="G13" s="313"/>
      <c r="H13" s="102" t="s">
        <v>85</v>
      </c>
      <c r="I13" s="303" t="s">
        <v>86</v>
      </c>
    </row>
    <row r="14" spans="1:9" ht="18.75">
      <c r="A14" s="16" t="s">
        <v>87</v>
      </c>
      <c r="B14" s="414"/>
      <c r="C14" s="414"/>
      <c r="D14" s="414"/>
      <c r="E14" s="414"/>
      <c r="F14" s="414" t="s">
        <v>88</v>
      </c>
      <c r="G14" s="414"/>
      <c r="H14" s="422"/>
      <c r="I14" s="305" t="s">
        <v>65</v>
      </c>
    </row>
    <row r="15" spans="1:9" ht="18.75">
      <c r="A15" s="16" t="s">
        <v>89</v>
      </c>
      <c r="B15" s="414" t="s">
        <v>90</v>
      </c>
      <c r="C15" s="414"/>
      <c r="D15" s="414"/>
      <c r="E15" s="414"/>
      <c r="F15" s="414" t="s">
        <v>91</v>
      </c>
      <c r="G15" s="414"/>
      <c r="H15" s="422"/>
      <c r="I15" s="103"/>
    </row>
    <row r="16" spans="1:9" ht="18.75">
      <c r="A16" s="16" t="s">
        <v>92</v>
      </c>
      <c r="B16" s="473">
        <v>220</v>
      </c>
      <c r="C16" s="473"/>
      <c r="D16" s="473"/>
      <c r="E16" s="473"/>
      <c r="F16" s="312"/>
      <c r="G16" s="312"/>
      <c r="H16" s="100"/>
      <c r="I16" s="97"/>
    </row>
    <row r="17" spans="1:9" ht="18.75">
      <c r="A17" s="16" t="s">
        <v>93</v>
      </c>
      <c r="B17" s="414" t="s">
        <v>94</v>
      </c>
      <c r="C17" s="414"/>
      <c r="D17" s="414"/>
      <c r="E17" s="414"/>
      <c r="F17" s="414"/>
      <c r="G17" s="414"/>
      <c r="H17" s="414"/>
      <c r="I17" s="422"/>
    </row>
    <row r="18" spans="1:9" ht="18.75">
      <c r="A18" s="16" t="s">
        <v>95</v>
      </c>
      <c r="B18" s="423" t="s">
        <v>96</v>
      </c>
      <c r="C18" s="423"/>
      <c r="D18" s="423"/>
      <c r="E18" s="423"/>
      <c r="F18" s="312"/>
      <c r="G18" s="312"/>
      <c r="H18" s="100"/>
      <c r="I18" s="97"/>
    </row>
    <row r="19" spans="1:9" ht="18.75">
      <c r="A19" s="16" t="s">
        <v>97</v>
      </c>
      <c r="B19" s="473" t="s">
        <v>98</v>
      </c>
      <c r="C19" s="473"/>
      <c r="D19" s="473"/>
      <c r="E19" s="473"/>
      <c r="F19" s="310"/>
      <c r="G19" s="310"/>
      <c r="H19" s="98"/>
      <c r="I19" s="99"/>
    </row>
    <row r="20" ht="10.5" customHeight="1"/>
    <row r="21" spans="1:9" ht="18.75">
      <c r="A21" s="424" t="s">
        <v>932</v>
      </c>
      <c r="B21" s="424"/>
      <c r="C21" s="424"/>
      <c r="D21" s="424"/>
      <c r="E21" s="424"/>
      <c r="F21" s="424"/>
      <c r="G21" s="424"/>
      <c r="H21" s="424"/>
      <c r="I21" s="424"/>
    </row>
    <row r="22" spans="1:10" ht="18.75">
      <c r="A22" s="425" t="s">
        <v>936</v>
      </c>
      <c r="B22" s="425"/>
      <c r="C22" s="425"/>
      <c r="D22" s="425"/>
      <c r="E22" s="425"/>
      <c r="F22" s="425"/>
      <c r="G22" s="425"/>
      <c r="H22" s="425"/>
      <c r="I22" s="425"/>
      <c r="J22" s="19"/>
    </row>
    <row r="23" spans="1:10" ht="18.75">
      <c r="A23" s="425" t="s">
        <v>937</v>
      </c>
      <c r="B23" s="425"/>
      <c r="C23" s="425"/>
      <c r="D23" s="425"/>
      <c r="E23" s="425"/>
      <c r="F23" s="425"/>
      <c r="G23" s="425"/>
      <c r="H23" s="425"/>
      <c r="I23" s="425"/>
      <c r="J23" s="19"/>
    </row>
    <row r="24" spans="1:10" ht="5.25" customHeight="1">
      <c r="A24" s="18"/>
      <c r="B24" s="18"/>
      <c r="C24" s="18"/>
      <c r="D24" s="18"/>
      <c r="E24" s="18"/>
      <c r="F24" s="18"/>
      <c r="G24" s="18"/>
      <c r="H24" s="104"/>
      <c r="I24" s="104"/>
      <c r="J24" s="19"/>
    </row>
    <row r="25" spans="1:10" ht="28.5" customHeight="1">
      <c r="A25" s="439" t="s">
        <v>100</v>
      </c>
      <c r="B25" s="446" t="s">
        <v>101</v>
      </c>
      <c r="C25" s="471" t="s">
        <v>938</v>
      </c>
      <c r="D25" s="472"/>
      <c r="E25" s="446" t="s">
        <v>104</v>
      </c>
      <c r="F25" s="443" t="s">
        <v>939</v>
      </c>
      <c r="G25" s="443"/>
      <c r="H25" s="443"/>
      <c r="I25" s="443"/>
      <c r="J25" s="444" t="s">
        <v>940</v>
      </c>
    </row>
    <row r="26" spans="1:10" ht="31.5">
      <c r="A26" s="440"/>
      <c r="B26" s="447"/>
      <c r="C26" s="171" t="s">
        <v>941</v>
      </c>
      <c r="D26" s="171" t="s">
        <v>942</v>
      </c>
      <c r="E26" s="447"/>
      <c r="F26" s="314" t="s">
        <v>943</v>
      </c>
      <c r="G26" s="314" t="s">
        <v>944</v>
      </c>
      <c r="H26" s="316" t="s">
        <v>945</v>
      </c>
      <c r="I26" s="316" t="s">
        <v>946</v>
      </c>
      <c r="J26" s="445"/>
    </row>
    <row r="27" spans="1:10" ht="18.75">
      <c r="A27" s="14">
        <v>1</v>
      </c>
      <c r="B27" s="17">
        <v>2</v>
      </c>
      <c r="C27" s="17">
        <v>3</v>
      </c>
      <c r="D27" s="17">
        <v>4</v>
      </c>
      <c r="E27" s="17">
        <v>5</v>
      </c>
      <c r="F27" s="17">
        <v>5</v>
      </c>
      <c r="G27" s="17">
        <v>6</v>
      </c>
      <c r="H27" s="305">
        <v>7</v>
      </c>
      <c r="I27" s="305">
        <v>8</v>
      </c>
      <c r="J27" s="17">
        <v>10</v>
      </c>
    </row>
    <row r="28" spans="1:10" ht="18.75">
      <c r="A28" s="34" t="s">
        <v>110</v>
      </c>
      <c r="B28" s="34"/>
      <c r="C28" s="34"/>
      <c r="D28" s="34"/>
      <c r="E28" s="34"/>
      <c r="F28" s="34"/>
      <c r="G28" s="34"/>
      <c r="H28" s="112"/>
      <c r="I28" s="113"/>
      <c r="J28" s="17"/>
    </row>
    <row r="29" spans="1:10" s="22" customFormat="1" ht="18.75" customHeight="1">
      <c r="A29" s="317" t="s">
        <v>111</v>
      </c>
      <c r="B29" s="317"/>
      <c r="C29" s="34"/>
      <c r="D29" s="34"/>
      <c r="E29" s="34"/>
      <c r="F29" s="34"/>
      <c r="G29" s="34"/>
      <c r="H29" s="112"/>
      <c r="I29" s="112"/>
      <c r="J29" s="35"/>
    </row>
    <row r="30" spans="1:10" s="22" customFormat="1" ht="37.5">
      <c r="A30" s="23" t="s">
        <v>112</v>
      </c>
      <c r="B30" s="24">
        <v>100</v>
      </c>
      <c r="C30" s="318"/>
      <c r="D30" s="318"/>
      <c r="E30" s="319">
        <f aca="true" t="shared" si="0" ref="E30:E35">SUM(F30:I30)</f>
        <v>26815.798427393656</v>
      </c>
      <c r="F30" s="320">
        <f>-(F36+F55+F70+F81)-F32</f>
        <v>11936.490000000002</v>
      </c>
      <c r="G30" s="320">
        <f>-(G36+G55+G70+G81)-G32</f>
        <v>13351.970000000003</v>
      </c>
      <c r="H30" s="321">
        <f>-(F30-G30)</f>
        <v>1415.4800000000014</v>
      </c>
      <c r="I30" s="107">
        <f>G30/F30*100</f>
        <v>111.85842739364756</v>
      </c>
      <c r="J30" s="322" t="s">
        <v>947</v>
      </c>
    </row>
    <row r="31" spans="1:10" s="22" customFormat="1" ht="56.25">
      <c r="A31" s="23" t="s">
        <v>948</v>
      </c>
      <c r="B31" s="24">
        <v>110</v>
      </c>
      <c r="C31" s="318"/>
      <c r="D31" s="318"/>
      <c r="E31" s="319">
        <f t="shared" si="0"/>
        <v>0</v>
      </c>
      <c r="F31" s="320">
        <v>0</v>
      </c>
      <c r="G31" s="320">
        <v>0</v>
      </c>
      <c r="H31" s="107">
        <f aca="true" t="shared" si="1" ref="H31:H94">F31-G31</f>
        <v>0</v>
      </c>
      <c r="I31" s="107">
        <v>0</v>
      </c>
      <c r="J31" s="322" t="s">
        <v>949</v>
      </c>
    </row>
    <row r="32" spans="1:10" s="22" customFormat="1" ht="37.5">
      <c r="A32" s="23" t="s">
        <v>113</v>
      </c>
      <c r="B32" s="24">
        <v>120</v>
      </c>
      <c r="C32" s="318"/>
      <c r="D32" s="318"/>
      <c r="E32" s="319">
        <f t="shared" si="0"/>
        <v>546.9955257270693</v>
      </c>
      <c r="F32" s="320">
        <f>F33+F34+F35</f>
        <v>223.5</v>
      </c>
      <c r="G32" s="320">
        <f>G33+G34+G35</f>
        <v>223.49</v>
      </c>
      <c r="H32" s="321">
        <f t="shared" si="1"/>
        <v>0.009999999999990905</v>
      </c>
      <c r="I32" s="107">
        <f aca="true" t="shared" si="2" ref="I32:I83">G32/F32*100</f>
        <v>99.99552572706935</v>
      </c>
      <c r="J32" s="322"/>
    </row>
    <row r="33" spans="1:10" s="22" customFormat="1" ht="56.25">
      <c r="A33" s="26" t="s">
        <v>114</v>
      </c>
      <c r="B33" s="27">
        <v>121</v>
      </c>
      <c r="C33" s="318"/>
      <c r="D33" s="318"/>
      <c r="E33" s="319">
        <f t="shared" si="0"/>
        <v>0</v>
      </c>
      <c r="F33" s="320"/>
      <c r="G33" s="320">
        <v>0</v>
      </c>
      <c r="H33" s="107">
        <f t="shared" si="1"/>
        <v>0</v>
      </c>
      <c r="I33" s="107">
        <v>0</v>
      </c>
      <c r="J33" s="322"/>
    </row>
    <row r="34" spans="1:10" s="22" customFormat="1" ht="37.5">
      <c r="A34" s="26" t="s">
        <v>115</v>
      </c>
      <c r="B34" s="27">
        <v>122</v>
      </c>
      <c r="C34" s="318"/>
      <c r="D34" s="318"/>
      <c r="E34" s="319">
        <f t="shared" si="0"/>
        <v>0</v>
      </c>
      <c r="F34" s="320">
        <v>0</v>
      </c>
      <c r="G34" s="320">
        <v>0</v>
      </c>
      <c r="H34" s="107">
        <f t="shared" si="1"/>
        <v>0</v>
      </c>
      <c r="I34" s="107">
        <v>0</v>
      </c>
      <c r="J34" s="322"/>
    </row>
    <row r="35" spans="1:10" s="22" customFormat="1" ht="56.25">
      <c r="A35" s="26" t="s">
        <v>950</v>
      </c>
      <c r="B35" s="27">
        <v>123</v>
      </c>
      <c r="C35" s="318"/>
      <c r="D35" s="318"/>
      <c r="E35" s="319">
        <f t="shared" si="0"/>
        <v>546.9955257270693</v>
      </c>
      <c r="F35" s="320">
        <f>-(F51)</f>
        <v>223.5</v>
      </c>
      <c r="G35" s="320">
        <f>-(G51)</f>
        <v>223.49</v>
      </c>
      <c r="H35" s="321">
        <f t="shared" si="1"/>
        <v>0.009999999999990905</v>
      </c>
      <c r="I35" s="107">
        <f t="shared" si="2"/>
        <v>99.99552572706935</v>
      </c>
      <c r="J35" s="322" t="s">
        <v>951</v>
      </c>
    </row>
    <row r="36" spans="1:10" ht="37.5">
      <c r="A36" s="23" t="s">
        <v>116</v>
      </c>
      <c r="B36" s="24">
        <v>130</v>
      </c>
      <c r="C36" s="318">
        <f>SUM(C37:C54)</f>
        <v>0</v>
      </c>
      <c r="D36" s="318">
        <f>SUM(D37:D54)</f>
        <v>0</v>
      </c>
      <c r="E36" s="323">
        <f>SUM(F36:I36)</f>
        <v>-20061.590140525048</v>
      </c>
      <c r="F36" s="320">
        <f>F37+F40+F41+F46+SUM(F47:F54)</f>
        <v>-10087.170000000002</v>
      </c>
      <c r="G36" s="320">
        <f>G37+G40+G41+G46+SUM(G47:G54)</f>
        <v>-11373.270000000002</v>
      </c>
      <c r="H36" s="321">
        <f t="shared" si="1"/>
        <v>1286.1000000000004</v>
      </c>
      <c r="I36" s="107">
        <f t="shared" si="2"/>
        <v>112.74985947495679</v>
      </c>
      <c r="J36" s="322"/>
    </row>
    <row r="37" spans="1:10" s="30" customFormat="1" ht="18.75">
      <c r="A37" s="23" t="s">
        <v>117</v>
      </c>
      <c r="B37" s="17">
        <v>140</v>
      </c>
      <c r="C37" s="318"/>
      <c r="D37" s="318"/>
      <c r="E37" s="323">
        <f>SUM(F37:I37)</f>
        <v>-583.7217847769028</v>
      </c>
      <c r="F37" s="320">
        <f>SUM(F38:F39)</f>
        <v>-381</v>
      </c>
      <c r="G37" s="320">
        <f>SUM(G38:G39)</f>
        <v>-679.24</v>
      </c>
      <c r="H37" s="321">
        <f t="shared" si="1"/>
        <v>298.24</v>
      </c>
      <c r="I37" s="107">
        <f t="shared" si="2"/>
        <v>178.27821522309713</v>
      </c>
      <c r="J37" s="322"/>
    </row>
    <row r="38" spans="1:10" s="30" customFormat="1" ht="18.75">
      <c r="A38" s="26" t="s">
        <v>118</v>
      </c>
      <c r="B38" s="31">
        <v>141</v>
      </c>
      <c r="C38" s="318"/>
      <c r="D38" s="318"/>
      <c r="E38" s="319">
        <f>SUM(F38:I38)</f>
        <v>-437.6679245283019</v>
      </c>
      <c r="F38" s="320">
        <v>-265</v>
      </c>
      <c r="G38" s="320">
        <v>-244.68</v>
      </c>
      <c r="H38" s="321">
        <f t="shared" si="1"/>
        <v>-20.319999999999993</v>
      </c>
      <c r="I38" s="107">
        <f t="shared" si="2"/>
        <v>92.33207547169812</v>
      </c>
      <c r="J38" s="322"/>
    </row>
    <row r="39" spans="1:10" s="30" customFormat="1" ht="56.25">
      <c r="A39" s="26" t="s">
        <v>119</v>
      </c>
      <c r="B39" s="31">
        <v>142</v>
      </c>
      <c r="C39" s="318"/>
      <c r="D39" s="318"/>
      <c r="E39" s="319">
        <f>SUM(F39:I39)</f>
        <v>142.6206896551725</v>
      </c>
      <c r="F39" s="320">
        <v>-116</v>
      </c>
      <c r="G39" s="320">
        <v>-434.56</v>
      </c>
      <c r="H39" s="321">
        <f t="shared" si="1"/>
        <v>318.56</v>
      </c>
      <c r="I39" s="107">
        <f t="shared" si="2"/>
        <v>374.62068965517244</v>
      </c>
      <c r="J39" s="322"/>
    </row>
    <row r="40" spans="1:10" s="30" customFormat="1" ht="18.75">
      <c r="A40" s="23" t="s">
        <v>120</v>
      </c>
      <c r="B40" s="17">
        <v>150</v>
      </c>
      <c r="C40" s="318"/>
      <c r="D40" s="318"/>
      <c r="E40" s="319">
        <f aca="true" t="shared" si="3" ref="E40:E70">SUM(F40:I40)</f>
        <v>-234.37830750893926</v>
      </c>
      <c r="F40" s="320">
        <v>-167.8</v>
      </c>
      <c r="G40" s="320">
        <v>-169.85</v>
      </c>
      <c r="H40" s="321">
        <f t="shared" si="1"/>
        <v>2.049999999999983</v>
      </c>
      <c r="I40" s="107">
        <f t="shared" si="2"/>
        <v>101.22169249106076</v>
      </c>
      <c r="J40" s="322"/>
    </row>
    <row r="41" spans="1:10" s="30" customFormat="1" ht="18.75">
      <c r="A41" s="23" t="s">
        <v>121</v>
      </c>
      <c r="B41" s="17">
        <v>160</v>
      </c>
      <c r="C41" s="318"/>
      <c r="D41" s="318"/>
      <c r="E41" s="323">
        <f>SUM(F41:I41)</f>
        <v>-888.117112086159</v>
      </c>
      <c r="F41" s="320">
        <f>SUM(F42:F45)</f>
        <v>-501.40000000000003</v>
      </c>
      <c r="G41" s="320">
        <f>SUM(G42:G45)</f>
        <v>-575.02</v>
      </c>
      <c r="H41" s="321">
        <f t="shared" si="1"/>
        <v>73.61999999999995</v>
      </c>
      <c r="I41" s="107">
        <f t="shared" si="2"/>
        <v>114.68288791384123</v>
      </c>
      <c r="J41" s="322"/>
    </row>
    <row r="42" spans="1:10" s="30" customFormat="1" ht="18.75">
      <c r="A42" s="26" t="s">
        <v>122</v>
      </c>
      <c r="B42" s="31">
        <v>161</v>
      </c>
      <c r="C42" s="318"/>
      <c r="D42" s="318"/>
      <c r="E42" s="319">
        <f t="shared" si="3"/>
        <v>-504.7168458781362</v>
      </c>
      <c r="F42" s="320">
        <v>-279</v>
      </c>
      <c r="G42" s="320">
        <v>-148.66</v>
      </c>
      <c r="H42" s="321">
        <f t="shared" si="1"/>
        <v>-130.34</v>
      </c>
      <c r="I42" s="107">
        <f t="shared" si="2"/>
        <v>53.283154121863795</v>
      </c>
      <c r="J42" s="322"/>
    </row>
    <row r="43" spans="1:10" s="30" customFormat="1" ht="18.75">
      <c r="A43" s="26" t="s">
        <v>123</v>
      </c>
      <c r="B43" s="31">
        <v>162</v>
      </c>
      <c r="C43" s="318"/>
      <c r="D43" s="318"/>
      <c r="E43" s="319">
        <f t="shared" si="3"/>
        <v>103.50731707317074</v>
      </c>
      <c r="F43" s="320">
        <v>-4.1</v>
      </c>
      <c r="G43" s="320">
        <v>-4.58</v>
      </c>
      <c r="H43" s="321">
        <f t="shared" si="1"/>
        <v>0.4800000000000004</v>
      </c>
      <c r="I43" s="107">
        <f t="shared" si="2"/>
        <v>111.70731707317074</v>
      </c>
      <c r="J43" s="322"/>
    </row>
    <row r="44" spans="1:10" s="30" customFormat="1" ht="18.75">
      <c r="A44" s="26" t="s">
        <v>124</v>
      </c>
      <c r="B44" s="31">
        <v>163</v>
      </c>
      <c r="C44" s="318"/>
      <c r="D44" s="318"/>
      <c r="E44" s="319">
        <f t="shared" si="3"/>
        <v>38.81104294478528</v>
      </c>
      <c r="F44" s="320">
        <v>-16.3</v>
      </c>
      <c r="G44" s="320">
        <v>-11.64</v>
      </c>
      <c r="H44" s="321">
        <f t="shared" si="1"/>
        <v>-4.66</v>
      </c>
      <c r="I44" s="107">
        <f t="shared" si="2"/>
        <v>71.41104294478528</v>
      </c>
      <c r="J44" s="322"/>
    </row>
    <row r="45" spans="1:10" s="30" customFormat="1" ht="18.75">
      <c r="A45" s="26" t="s">
        <v>125</v>
      </c>
      <c r="B45" s="31">
        <v>164</v>
      </c>
      <c r="C45" s="318"/>
      <c r="D45" s="318"/>
      <c r="E45" s="319">
        <f t="shared" si="3"/>
        <v>-200.96039603960398</v>
      </c>
      <c r="F45" s="320">
        <v>-202</v>
      </c>
      <c r="G45" s="320">
        <v>-410.14</v>
      </c>
      <c r="H45" s="321">
        <f t="shared" si="1"/>
        <v>208.14</v>
      </c>
      <c r="I45" s="107">
        <f t="shared" si="2"/>
        <v>203.03960396039602</v>
      </c>
      <c r="J45" s="322"/>
    </row>
    <row r="46" spans="1:10" s="30" customFormat="1" ht="37.5">
      <c r="A46" s="23" t="s">
        <v>126</v>
      </c>
      <c r="B46" s="17">
        <v>170</v>
      </c>
      <c r="C46" s="318"/>
      <c r="D46" s="318"/>
      <c r="E46" s="319">
        <f t="shared" si="3"/>
        <v>-947.9246198109331</v>
      </c>
      <c r="F46" s="320">
        <v>-486.6</v>
      </c>
      <c r="G46" s="320">
        <v>-122.99</v>
      </c>
      <c r="H46" s="321">
        <f t="shared" si="1"/>
        <v>-363.61</v>
      </c>
      <c r="I46" s="107">
        <f t="shared" si="2"/>
        <v>25.275380189066993</v>
      </c>
      <c r="J46" s="322"/>
    </row>
    <row r="47" spans="1:10" s="30" customFormat="1" ht="18.75">
      <c r="A47" s="23" t="s">
        <v>127</v>
      </c>
      <c r="B47" s="17">
        <v>180</v>
      </c>
      <c r="C47" s="318"/>
      <c r="D47" s="318"/>
      <c r="E47" s="319">
        <f>SUM(F47:I47)</f>
        <v>-13113.218269783192</v>
      </c>
      <c r="F47" s="320">
        <v>-6614.2</v>
      </c>
      <c r="G47" s="320">
        <v>-7618.35</v>
      </c>
      <c r="H47" s="321">
        <f t="shared" si="1"/>
        <v>1004.1500000000005</v>
      </c>
      <c r="I47" s="107">
        <f t="shared" si="2"/>
        <v>115.18173021680627</v>
      </c>
      <c r="J47" s="322"/>
    </row>
    <row r="48" spans="1:10" s="30" customFormat="1" ht="18.75">
      <c r="A48" s="23" t="s">
        <v>128</v>
      </c>
      <c r="B48" s="17">
        <v>190</v>
      </c>
      <c r="C48" s="318"/>
      <c r="D48" s="318"/>
      <c r="E48" s="319">
        <f t="shared" si="3"/>
        <v>-2796.5527245241524</v>
      </c>
      <c r="F48" s="320">
        <v>-1455.3</v>
      </c>
      <c r="G48" s="320">
        <v>-1659.73</v>
      </c>
      <c r="H48" s="321">
        <f t="shared" si="1"/>
        <v>204.43000000000006</v>
      </c>
      <c r="I48" s="107">
        <f t="shared" si="2"/>
        <v>114.0472754758469</v>
      </c>
      <c r="J48" s="322"/>
    </row>
    <row r="49" spans="1:10" s="30" customFormat="1" ht="18.75">
      <c r="A49" s="23" t="s">
        <v>129</v>
      </c>
      <c r="B49" s="17">
        <v>200</v>
      </c>
      <c r="C49" s="318"/>
      <c r="D49" s="318"/>
      <c r="E49" s="319">
        <f t="shared" si="3"/>
        <v>-210.68217054263567</v>
      </c>
      <c r="F49" s="320">
        <v>-129</v>
      </c>
      <c r="G49" s="320">
        <v>-61.04</v>
      </c>
      <c r="H49" s="321">
        <f t="shared" si="1"/>
        <v>-67.96000000000001</v>
      </c>
      <c r="I49" s="107">
        <f t="shared" si="2"/>
        <v>47.31782945736434</v>
      </c>
      <c r="J49" s="322"/>
    </row>
    <row r="50" spans="1:10" s="30" customFormat="1" ht="18.75">
      <c r="A50" s="23" t="s">
        <v>130</v>
      </c>
      <c r="B50" s="17">
        <v>210</v>
      </c>
      <c r="C50" s="318"/>
      <c r="D50" s="318"/>
      <c r="E50" s="319">
        <f t="shared" si="3"/>
        <v>-55</v>
      </c>
      <c r="F50" s="320">
        <v>-27.5</v>
      </c>
      <c r="G50" s="320">
        <v>0</v>
      </c>
      <c r="H50" s="321">
        <f t="shared" si="1"/>
        <v>-27.5</v>
      </c>
      <c r="I50" s="107">
        <f t="shared" si="2"/>
        <v>0</v>
      </c>
      <c r="J50" s="322"/>
    </row>
    <row r="51" spans="1:10" s="30" customFormat="1" ht="37.5">
      <c r="A51" s="23" t="s">
        <v>952</v>
      </c>
      <c r="B51" s="17">
        <v>220</v>
      </c>
      <c r="C51" s="318"/>
      <c r="D51" s="318"/>
      <c r="E51" s="319">
        <f t="shared" si="3"/>
        <v>-347.0044742729307</v>
      </c>
      <c r="F51" s="320">
        <v>-223.5</v>
      </c>
      <c r="G51" s="320">
        <v>-223.49</v>
      </c>
      <c r="H51" s="321">
        <f t="shared" si="1"/>
        <v>-0.009999999999990905</v>
      </c>
      <c r="I51" s="107">
        <f t="shared" si="2"/>
        <v>99.99552572706935</v>
      </c>
      <c r="J51" s="322" t="s">
        <v>951</v>
      </c>
    </row>
    <row r="52" spans="1:10" s="30" customFormat="1" ht="37.5">
      <c r="A52" s="23" t="s">
        <v>131</v>
      </c>
      <c r="B52" s="17">
        <v>230</v>
      </c>
      <c r="C52" s="318"/>
      <c r="D52" s="318"/>
      <c r="E52" s="319">
        <f t="shared" si="3"/>
        <v>42.69</v>
      </c>
      <c r="F52" s="320">
        <v>-100</v>
      </c>
      <c r="G52" s="320">
        <v>-242.69</v>
      </c>
      <c r="H52" s="321">
        <f t="shared" si="1"/>
        <v>142.69</v>
      </c>
      <c r="I52" s="107">
        <f t="shared" si="2"/>
        <v>242.69</v>
      </c>
      <c r="J52" s="322" t="s">
        <v>953</v>
      </c>
    </row>
    <row r="53" spans="1:10" s="30" customFormat="1" ht="18.75">
      <c r="A53" s="23" t="s">
        <v>132</v>
      </c>
      <c r="B53" s="17">
        <v>240</v>
      </c>
      <c r="C53" s="318"/>
      <c r="D53" s="318"/>
      <c r="E53" s="319">
        <f t="shared" si="3"/>
        <v>0</v>
      </c>
      <c r="F53" s="320">
        <v>0</v>
      </c>
      <c r="G53" s="320"/>
      <c r="H53" s="107"/>
      <c r="I53" s="107"/>
      <c r="J53" s="322"/>
    </row>
    <row r="54" spans="1:10" s="30" customFormat="1" ht="18.75">
      <c r="A54" s="23" t="s">
        <v>202</v>
      </c>
      <c r="B54" s="24">
        <v>250</v>
      </c>
      <c r="C54" s="318"/>
      <c r="D54" s="318"/>
      <c r="E54" s="319">
        <f t="shared" si="3"/>
        <v>2397.110574712644</v>
      </c>
      <c r="F54" s="320">
        <v>-0.87</v>
      </c>
      <c r="G54" s="320">
        <v>-20.87</v>
      </c>
      <c r="H54" s="321">
        <f t="shared" si="1"/>
        <v>20</v>
      </c>
      <c r="I54" s="107">
        <f t="shared" si="2"/>
        <v>2398.8505747126437</v>
      </c>
      <c r="J54" s="322" t="s">
        <v>954</v>
      </c>
    </row>
    <row r="55" spans="1:10" ht="18.75">
      <c r="A55" s="23" t="s">
        <v>134</v>
      </c>
      <c r="B55" s="24">
        <v>260</v>
      </c>
      <c r="C55" s="318">
        <f>SUM(C56:C64,C66)</f>
        <v>0</v>
      </c>
      <c r="D55" s="318">
        <f>SUM(D56:D64,D66)</f>
        <v>0</v>
      </c>
      <c r="E55" s="323">
        <f t="shared" si="3"/>
        <v>-3390.886646069344</v>
      </c>
      <c r="F55" s="320">
        <f>SUM(F56:F66)</f>
        <v>-1747.8</v>
      </c>
      <c r="G55" s="320">
        <f>SUM(G56:G66)</f>
        <v>-1830.1799999999998</v>
      </c>
      <c r="H55" s="321">
        <f t="shared" si="1"/>
        <v>82.37999999999988</v>
      </c>
      <c r="I55" s="107">
        <f t="shared" si="2"/>
        <v>104.71335393065569</v>
      </c>
      <c r="J55" s="322"/>
    </row>
    <row r="56" spans="1:10" ht="56.25">
      <c r="A56" s="26" t="s">
        <v>135</v>
      </c>
      <c r="B56" s="27">
        <v>261</v>
      </c>
      <c r="C56" s="318"/>
      <c r="D56" s="318"/>
      <c r="E56" s="319">
        <f t="shared" si="3"/>
        <v>-35.74074074074074</v>
      </c>
      <c r="F56" s="320">
        <v>-27</v>
      </c>
      <c r="G56" s="320">
        <v>-4.93</v>
      </c>
      <c r="H56" s="321">
        <f t="shared" si="1"/>
        <v>-22.07</v>
      </c>
      <c r="I56" s="107">
        <f t="shared" si="2"/>
        <v>18.25925925925926</v>
      </c>
      <c r="J56" s="322"/>
    </row>
    <row r="57" spans="1:10" ht="37.5">
      <c r="A57" s="26" t="s">
        <v>126</v>
      </c>
      <c r="B57" s="27">
        <v>262</v>
      </c>
      <c r="C57" s="318"/>
      <c r="D57" s="318"/>
      <c r="E57" s="319">
        <f t="shared" si="3"/>
        <v>8.935248041775466</v>
      </c>
      <c r="F57" s="320">
        <v>-38.3</v>
      </c>
      <c r="G57" s="320">
        <v>-32.76</v>
      </c>
      <c r="H57" s="321">
        <f t="shared" si="1"/>
        <v>-5.539999999999999</v>
      </c>
      <c r="I57" s="107">
        <f t="shared" si="2"/>
        <v>85.53524804177546</v>
      </c>
      <c r="J57" s="322" t="s">
        <v>955</v>
      </c>
    </row>
    <row r="58" spans="1:12" s="30" customFormat="1" ht="18.75">
      <c r="A58" s="26" t="s">
        <v>136</v>
      </c>
      <c r="B58" s="27">
        <v>263</v>
      </c>
      <c r="C58" s="318"/>
      <c r="D58" s="318"/>
      <c r="E58" s="319">
        <f t="shared" si="3"/>
        <v>46.875</v>
      </c>
      <c r="F58" s="320">
        <v>-16</v>
      </c>
      <c r="G58" s="320">
        <v>-12.62</v>
      </c>
      <c r="H58" s="321">
        <f t="shared" si="1"/>
        <v>-3.380000000000001</v>
      </c>
      <c r="I58" s="107">
        <f t="shared" si="2"/>
        <v>78.875</v>
      </c>
      <c r="J58" s="322" t="s">
        <v>956</v>
      </c>
      <c r="L58" s="324"/>
    </row>
    <row r="59" spans="1:10" s="30" customFormat="1" ht="18.75">
      <c r="A59" s="26" t="s">
        <v>137</v>
      </c>
      <c r="B59" s="27">
        <v>264</v>
      </c>
      <c r="C59" s="318"/>
      <c r="D59" s="318"/>
      <c r="E59" s="319">
        <f t="shared" si="3"/>
        <v>-2518.6752686533036</v>
      </c>
      <c r="F59" s="320">
        <v>-1312.1</v>
      </c>
      <c r="G59" s="320">
        <v>-1384.59</v>
      </c>
      <c r="H59" s="321">
        <f t="shared" si="1"/>
        <v>72.49000000000001</v>
      </c>
      <c r="I59" s="107">
        <f t="shared" si="2"/>
        <v>105.52473134669613</v>
      </c>
      <c r="J59" s="322"/>
    </row>
    <row r="60" spans="1:10" s="30" customFormat="1" ht="18.75">
      <c r="A60" s="26" t="s">
        <v>138</v>
      </c>
      <c r="B60" s="27">
        <v>265</v>
      </c>
      <c r="C60" s="318"/>
      <c r="D60" s="318"/>
      <c r="E60" s="319">
        <f t="shared" si="3"/>
        <v>-476.66638946638955</v>
      </c>
      <c r="F60" s="320">
        <v>-288.6</v>
      </c>
      <c r="G60" s="320">
        <v>-290.14</v>
      </c>
      <c r="H60" s="321">
        <f t="shared" si="1"/>
        <v>1.5399999999999636</v>
      </c>
      <c r="I60" s="107">
        <f t="shared" si="2"/>
        <v>100.53361053361051</v>
      </c>
      <c r="J60" s="322"/>
    </row>
    <row r="61" spans="1:10" s="30" customFormat="1" ht="18.75">
      <c r="A61" s="26" t="s">
        <v>122</v>
      </c>
      <c r="B61" s="27">
        <v>266</v>
      </c>
      <c r="C61" s="318"/>
      <c r="D61" s="318"/>
      <c r="E61" s="319">
        <f t="shared" si="3"/>
        <v>481.8575757575758</v>
      </c>
      <c r="F61" s="320">
        <v>-13.2</v>
      </c>
      <c r="G61" s="320">
        <v>-67.09</v>
      </c>
      <c r="H61" s="321">
        <f t="shared" si="1"/>
        <v>53.89</v>
      </c>
      <c r="I61" s="107">
        <f t="shared" si="2"/>
        <v>508.2575757575758</v>
      </c>
      <c r="J61" s="322" t="s">
        <v>957</v>
      </c>
    </row>
    <row r="62" spans="1:10" s="30" customFormat="1" ht="18.75">
      <c r="A62" s="26" t="s">
        <v>123</v>
      </c>
      <c r="B62" s="27">
        <v>267</v>
      </c>
      <c r="C62" s="318"/>
      <c r="D62" s="318"/>
      <c r="E62" s="319">
        <f t="shared" si="3"/>
        <v>164.16363636363636</v>
      </c>
      <c r="F62" s="320">
        <v>-1.1</v>
      </c>
      <c r="G62" s="320">
        <v>-1.83</v>
      </c>
      <c r="H62" s="321">
        <f t="shared" si="1"/>
        <v>0.73</v>
      </c>
      <c r="I62" s="107">
        <f t="shared" si="2"/>
        <v>166.36363636363635</v>
      </c>
      <c r="J62" s="322"/>
    </row>
    <row r="63" spans="1:10" s="30" customFormat="1" ht="18.75">
      <c r="A63" s="23" t="s">
        <v>120</v>
      </c>
      <c r="B63" s="27">
        <v>268</v>
      </c>
      <c r="C63" s="318"/>
      <c r="D63" s="318"/>
      <c r="E63" s="319">
        <f t="shared" si="3"/>
        <v>-5.037426900584798</v>
      </c>
      <c r="F63" s="320">
        <v>-34.2</v>
      </c>
      <c r="G63" s="320">
        <v>-21.67</v>
      </c>
      <c r="H63" s="321">
        <f t="shared" si="1"/>
        <v>-12.530000000000001</v>
      </c>
      <c r="I63" s="107">
        <f t="shared" si="2"/>
        <v>63.36257309941521</v>
      </c>
      <c r="J63" s="322"/>
    </row>
    <row r="64" spans="1:10" s="30" customFormat="1" ht="18.75">
      <c r="A64" s="23" t="s">
        <v>130</v>
      </c>
      <c r="B64" s="27">
        <v>269</v>
      </c>
      <c r="C64" s="318"/>
      <c r="D64" s="318"/>
      <c r="E64" s="319">
        <f t="shared" si="3"/>
        <v>-5</v>
      </c>
      <c r="F64" s="320">
        <v>-2.5</v>
      </c>
      <c r="G64" s="320">
        <v>0</v>
      </c>
      <c r="H64" s="321">
        <f t="shared" si="1"/>
        <v>-2.5</v>
      </c>
      <c r="I64" s="107">
        <f t="shared" si="2"/>
        <v>0</v>
      </c>
      <c r="J64" s="322" t="s">
        <v>958</v>
      </c>
    </row>
    <row r="65" spans="1:10" s="30" customFormat="1" ht="18.75">
      <c r="A65" s="23" t="s">
        <v>139</v>
      </c>
      <c r="B65" s="24">
        <v>270</v>
      </c>
      <c r="C65" s="318"/>
      <c r="D65" s="318"/>
      <c r="E65" s="319">
        <f>SUM(F65:I65)</f>
        <v>0</v>
      </c>
      <c r="F65" s="320">
        <v>0</v>
      </c>
      <c r="G65" s="320">
        <v>0</v>
      </c>
      <c r="H65" s="107">
        <f t="shared" si="1"/>
        <v>0</v>
      </c>
      <c r="I65" s="107"/>
      <c r="J65" s="322"/>
    </row>
    <row r="66" spans="1:10" s="30" customFormat="1" ht="37.5">
      <c r="A66" s="23" t="s">
        <v>203</v>
      </c>
      <c r="B66" s="24">
        <v>280</v>
      </c>
      <c r="C66" s="318"/>
      <c r="D66" s="318"/>
      <c r="E66" s="319">
        <f t="shared" si="3"/>
        <v>68.71081081081081</v>
      </c>
      <c r="F66" s="320">
        <v>-14.8</v>
      </c>
      <c r="G66" s="320">
        <v>-14.55</v>
      </c>
      <c r="H66" s="321">
        <f t="shared" si="1"/>
        <v>-0.25</v>
      </c>
      <c r="I66" s="107">
        <f t="shared" si="2"/>
        <v>98.3108108108108</v>
      </c>
      <c r="J66" s="322"/>
    </row>
    <row r="67" spans="1:10" s="30" customFormat="1" ht="18.75">
      <c r="A67" s="23" t="s">
        <v>140</v>
      </c>
      <c r="B67" s="24">
        <v>290</v>
      </c>
      <c r="C67" s="318"/>
      <c r="D67" s="318"/>
      <c r="E67" s="319">
        <f t="shared" si="3"/>
        <v>0</v>
      </c>
      <c r="F67" s="320">
        <f>SUM(F68:F69)</f>
        <v>0</v>
      </c>
      <c r="G67" s="320">
        <f>SUM(G68:G69)</f>
        <v>0</v>
      </c>
      <c r="H67" s="107">
        <f t="shared" si="1"/>
        <v>0</v>
      </c>
      <c r="I67" s="107">
        <v>0</v>
      </c>
      <c r="J67" s="322"/>
    </row>
    <row r="68" spans="1:10" s="30" customFormat="1" ht="18.75">
      <c r="A68" s="26" t="s">
        <v>141</v>
      </c>
      <c r="B68" s="32">
        <v>291</v>
      </c>
      <c r="C68" s="318"/>
      <c r="D68" s="318"/>
      <c r="E68" s="319">
        <f t="shared" si="3"/>
        <v>0</v>
      </c>
      <c r="F68" s="320">
        <v>0</v>
      </c>
      <c r="G68" s="320">
        <v>0</v>
      </c>
      <c r="H68" s="107">
        <f t="shared" si="1"/>
        <v>0</v>
      </c>
      <c r="I68" s="107">
        <v>0</v>
      </c>
      <c r="J68" s="322"/>
    </row>
    <row r="69" spans="1:10" s="30" customFormat="1" ht="18.75">
      <c r="A69" s="26" t="s">
        <v>142</v>
      </c>
      <c r="B69" s="32">
        <v>292</v>
      </c>
      <c r="C69" s="318"/>
      <c r="D69" s="318"/>
      <c r="E69" s="319">
        <f t="shared" si="3"/>
        <v>0</v>
      </c>
      <c r="F69" s="320">
        <v>0</v>
      </c>
      <c r="G69" s="320">
        <v>0</v>
      </c>
      <c r="H69" s="107">
        <f t="shared" si="1"/>
        <v>0</v>
      </c>
      <c r="I69" s="107">
        <v>0</v>
      </c>
      <c r="J69" s="322" t="s">
        <v>959</v>
      </c>
    </row>
    <row r="70" spans="1:10" s="30" customFormat="1" ht="37.5">
      <c r="A70" s="23" t="s">
        <v>143</v>
      </c>
      <c r="B70" s="14">
        <v>300</v>
      </c>
      <c r="C70" s="318"/>
      <c r="D70" s="318"/>
      <c r="E70" s="319">
        <f t="shared" si="3"/>
        <v>59.66666666666666</v>
      </c>
      <c r="F70" s="320">
        <v>-15</v>
      </c>
      <c r="G70" s="320">
        <v>-13.45</v>
      </c>
      <c r="H70" s="321">
        <f t="shared" si="1"/>
        <v>-1.5500000000000007</v>
      </c>
      <c r="I70" s="107">
        <f t="shared" si="2"/>
        <v>89.66666666666666</v>
      </c>
      <c r="J70" s="322"/>
    </row>
    <row r="71" spans="1:10" s="30" customFormat="1" ht="18.75">
      <c r="A71" s="33" t="s">
        <v>144</v>
      </c>
      <c r="B71" s="34"/>
      <c r="C71" s="34"/>
      <c r="D71" s="34"/>
      <c r="E71" s="34"/>
      <c r="F71" s="34"/>
      <c r="G71" s="34"/>
      <c r="H71" s="107">
        <f t="shared" si="1"/>
        <v>0</v>
      </c>
      <c r="I71" s="107">
        <v>0</v>
      </c>
      <c r="J71" s="322"/>
    </row>
    <row r="72" spans="1:10" s="30" customFormat="1" ht="18.75">
      <c r="A72" s="23" t="s">
        <v>145</v>
      </c>
      <c r="B72" s="14">
        <v>310</v>
      </c>
      <c r="C72" s="318"/>
      <c r="D72" s="318"/>
      <c r="E72" s="319">
        <f aca="true" t="shared" si="4" ref="E72:E77">SUM(F72:I72)</f>
        <v>-3930.7479571598574</v>
      </c>
      <c r="F72" s="320">
        <f>F37+F40+F41+F46+F49+F50+F51+F52</f>
        <v>-2016.8000000000002</v>
      </c>
      <c r="G72" s="320">
        <f>G37+G40+G41+G46+G49+G50+G51+G52</f>
        <v>-2074.32</v>
      </c>
      <c r="H72" s="321">
        <f t="shared" si="1"/>
        <v>57.51999999999998</v>
      </c>
      <c r="I72" s="107">
        <f t="shared" si="2"/>
        <v>102.8520428401428</v>
      </c>
      <c r="J72" s="322"/>
    </row>
    <row r="73" spans="1:10" s="30" customFormat="1" ht="18.75">
      <c r="A73" s="23" t="s">
        <v>127</v>
      </c>
      <c r="B73" s="14">
        <v>320</v>
      </c>
      <c r="C73" s="318"/>
      <c r="D73" s="318"/>
      <c r="E73" s="319">
        <f t="shared" si="4"/>
        <v>-15739.016865372238</v>
      </c>
      <c r="F73" s="320">
        <f>F47+F59</f>
        <v>-7926.299999999999</v>
      </c>
      <c r="G73" s="320">
        <f>G47+G59</f>
        <v>-9002.94</v>
      </c>
      <c r="H73" s="321">
        <f t="shared" si="1"/>
        <v>1076.6400000000012</v>
      </c>
      <c r="I73" s="107">
        <f t="shared" si="2"/>
        <v>113.58313462775824</v>
      </c>
      <c r="J73" s="322"/>
    </row>
    <row r="74" spans="1:10" s="30" customFormat="1" ht="18.75">
      <c r="A74" s="23" t="s">
        <v>128</v>
      </c>
      <c r="B74" s="14">
        <v>330</v>
      </c>
      <c r="C74" s="318"/>
      <c r="D74" s="318"/>
      <c r="E74" s="319">
        <f>SUM(F74:I74)</f>
        <v>-3375.989116348415</v>
      </c>
      <c r="F74" s="320">
        <f>F48+F60</f>
        <v>-1743.9</v>
      </c>
      <c r="G74" s="320">
        <f>G48+G60</f>
        <v>-1949.87</v>
      </c>
      <c r="H74" s="321">
        <f t="shared" si="1"/>
        <v>205.9699999999998</v>
      </c>
      <c r="I74" s="107">
        <f t="shared" si="2"/>
        <v>111.81088365158551</v>
      </c>
      <c r="J74" s="322"/>
    </row>
    <row r="75" spans="1:10" s="30" customFormat="1" ht="18.75">
      <c r="A75" s="23" t="s">
        <v>132</v>
      </c>
      <c r="B75" s="14">
        <v>340</v>
      </c>
      <c r="C75" s="318"/>
      <c r="D75" s="318"/>
      <c r="E75" s="319">
        <f t="shared" si="4"/>
        <v>0</v>
      </c>
      <c r="F75" s="320">
        <f>F53+F65</f>
        <v>0</v>
      </c>
      <c r="G75" s="320">
        <f>G53+G65</f>
        <v>0</v>
      </c>
      <c r="H75" s="321">
        <f t="shared" si="1"/>
        <v>0</v>
      </c>
      <c r="I75" s="107">
        <v>0</v>
      </c>
      <c r="J75" s="322"/>
    </row>
    <row r="76" spans="1:10" s="30" customFormat="1" ht="18.75">
      <c r="A76" s="23" t="s">
        <v>146</v>
      </c>
      <c r="B76" s="14">
        <v>350</v>
      </c>
      <c r="C76" s="318"/>
      <c r="D76" s="318"/>
      <c r="E76" s="319">
        <f>SUM(F76:I76)</f>
        <v>-209.49525556850944</v>
      </c>
      <c r="F76" s="320">
        <f>F54+F57+F58+F61+F63+F64+F66+F62+F56+F70</f>
        <v>-162.96999999999997</v>
      </c>
      <c r="G76" s="320">
        <f>G54+G57+G58+G61+G63+G64+G66+G62+G56+G70</f>
        <v>-189.77</v>
      </c>
      <c r="H76" s="321">
        <f t="shared" si="1"/>
        <v>26.80000000000004</v>
      </c>
      <c r="I76" s="107">
        <f t="shared" si="2"/>
        <v>116.44474443149049</v>
      </c>
      <c r="J76" s="322"/>
    </row>
    <row r="77" spans="1:10" s="30" customFormat="1" ht="18.75">
      <c r="A77" s="23" t="s">
        <v>147</v>
      </c>
      <c r="B77" s="14">
        <v>360</v>
      </c>
      <c r="C77" s="318"/>
      <c r="D77" s="318"/>
      <c r="E77" s="323">
        <f t="shared" si="4"/>
        <v>-23588.404696535094</v>
      </c>
      <c r="F77" s="320">
        <f>SUM(F72:F76)</f>
        <v>-11849.969999999998</v>
      </c>
      <c r="G77" s="320">
        <f>SUM(G72:G76)</f>
        <v>-13216.900000000001</v>
      </c>
      <c r="H77" s="321">
        <f t="shared" si="1"/>
        <v>1366.930000000004</v>
      </c>
      <c r="I77" s="107">
        <f t="shared" si="2"/>
        <v>111.53530346490332</v>
      </c>
      <c r="J77" s="322"/>
    </row>
    <row r="78" spans="1:10" s="30" customFormat="1" ht="18.75">
      <c r="A78" s="306" t="s">
        <v>148</v>
      </c>
      <c r="B78" s="34"/>
      <c r="C78" s="34"/>
      <c r="D78" s="34"/>
      <c r="E78" s="34"/>
      <c r="F78" s="34"/>
      <c r="G78" s="34"/>
      <c r="H78" s="107">
        <f t="shared" si="1"/>
        <v>0</v>
      </c>
      <c r="I78" s="107">
        <v>0</v>
      </c>
      <c r="J78" s="322"/>
    </row>
    <row r="79" spans="1:10" s="30" customFormat="1" ht="18.75">
      <c r="A79" s="23" t="s">
        <v>149</v>
      </c>
      <c r="B79" s="14">
        <v>370</v>
      </c>
      <c r="C79" s="318"/>
      <c r="D79" s="318"/>
      <c r="E79" s="323">
        <f>SUM(F79:I79)</f>
        <v>0</v>
      </c>
      <c r="F79" s="320">
        <f>SUM(F80)</f>
        <v>0</v>
      </c>
      <c r="G79" s="320">
        <f>SUM(G80)</f>
        <v>0</v>
      </c>
      <c r="H79" s="107">
        <f t="shared" si="1"/>
        <v>0</v>
      </c>
      <c r="I79" s="107">
        <v>0</v>
      </c>
      <c r="J79" s="322"/>
    </row>
    <row r="80" spans="1:10" s="30" customFormat="1" ht="37.5">
      <c r="A80" s="23" t="s">
        <v>960</v>
      </c>
      <c r="B80" s="32">
        <v>371</v>
      </c>
      <c r="C80" s="318"/>
      <c r="D80" s="318"/>
      <c r="E80" s="319">
        <f>SUM(F80:I80)</f>
        <v>0</v>
      </c>
      <c r="F80" s="320"/>
      <c r="G80" s="320"/>
      <c r="H80" s="107">
        <f t="shared" si="1"/>
        <v>0</v>
      </c>
      <c r="I80" s="107">
        <v>0</v>
      </c>
      <c r="J80" s="322"/>
    </row>
    <row r="81" spans="1:10" s="30" customFormat="1" ht="18.75">
      <c r="A81" s="21" t="s">
        <v>150</v>
      </c>
      <c r="B81" s="36">
        <v>380</v>
      </c>
      <c r="C81" s="325">
        <f>SUM(C82:C87)</f>
        <v>0</v>
      </c>
      <c r="D81" s="325">
        <f>SUM(D82:D87)</f>
        <v>0</v>
      </c>
      <c r="E81" s="323">
        <f aca="true" t="shared" si="5" ref="E81:E87">SUM(F81:I81)</f>
        <v>-504.3829456164118</v>
      </c>
      <c r="F81" s="326">
        <f>SUM(F82:F87)</f>
        <v>-310.02</v>
      </c>
      <c r="G81" s="326">
        <f>SUM(G82:G87)</f>
        <v>-358.56</v>
      </c>
      <c r="H81" s="321">
        <f t="shared" si="1"/>
        <v>48.54000000000002</v>
      </c>
      <c r="I81" s="107">
        <f t="shared" si="2"/>
        <v>115.65705438358816</v>
      </c>
      <c r="J81" s="322"/>
    </row>
    <row r="82" spans="1:10" s="30" customFormat="1" ht="18.75">
      <c r="A82" s="23" t="s">
        <v>151</v>
      </c>
      <c r="B82" s="38">
        <v>381</v>
      </c>
      <c r="C82" s="318"/>
      <c r="D82" s="318"/>
      <c r="E82" s="319">
        <f t="shared" si="5"/>
        <v>0</v>
      </c>
      <c r="F82" s="320"/>
      <c r="G82" s="320"/>
      <c r="H82" s="107">
        <f t="shared" si="1"/>
        <v>0</v>
      </c>
      <c r="I82" s="107">
        <v>0</v>
      </c>
      <c r="J82" s="322"/>
    </row>
    <row r="83" spans="1:10" s="30" customFormat="1" ht="18.75">
      <c r="A83" s="23" t="s">
        <v>152</v>
      </c>
      <c r="B83" s="39">
        <v>382</v>
      </c>
      <c r="C83" s="318"/>
      <c r="D83" s="318"/>
      <c r="E83" s="319">
        <f t="shared" si="5"/>
        <v>-504.3829456164118</v>
      </c>
      <c r="F83" s="320">
        <v>-310.02</v>
      </c>
      <c r="G83" s="320">
        <v>-358.56</v>
      </c>
      <c r="H83" s="321">
        <f t="shared" si="1"/>
        <v>48.54000000000002</v>
      </c>
      <c r="I83" s="107">
        <f t="shared" si="2"/>
        <v>115.65705438358816</v>
      </c>
      <c r="J83" s="322"/>
    </row>
    <row r="84" spans="1:10" s="30" customFormat="1" ht="37.5">
      <c r="A84" s="23" t="s">
        <v>153</v>
      </c>
      <c r="B84" s="38">
        <v>383</v>
      </c>
      <c r="C84" s="318"/>
      <c r="D84" s="318"/>
      <c r="E84" s="319">
        <f t="shared" si="5"/>
        <v>0</v>
      </c>
      <c r="F84" s="320"/>
      <c r="G84" s="320"/>
      <c r="H84" s="107">
        <f t="shared" si="1"/>
        <v>0</v>
      </c>
      <c r="I84" s="107">
        <v>0</v>
      </c>
      <c r="J84" s="322"/>
    </row>
    <row r="85" spans="1:10" s="30" customFormat="1" ht="18.75">
      <c r="A85" s="23" t="s">
        <v>154</v>
      </c>
      <c r="B85" s="39">
        <v>384</v>
      </c>
      <c r="C85" s="318"/>
      <c r="D85" s="318"/>
      <c r="E85" s="319">
        <f t="shared" si="5"/>
        <v>0</v>
      </c>
      <c r="F85" s="320"/>
      <c r="G85" s="320"/>
      <c r="H85" s="107">
        <f t="shared" si="1"/>
        <v>0</v>
      </c>
      <c r="I85" s="107">
        <v>0</v>
      </c>
      <c r="J85" s="322"/>
    </row>
    <row r="86" spans="1:10" s="30" customFormat="1" ht="37.5">
      <c r="A86" s="23" t="s">
        <v>155</v>
      </c>
      <c r="B86" s="39">
        <v>385</v>
      </c>
      <c r="C86" s="318"/>
      <c r="D86" s="318"/>
      <c r="E86" s="319">
        <f t="shared" si="5"/>
        <v>0</v>
      </c>
      <c r="F86" s="320"/>
      <c r="G86" s="320"/>
      <c r="H86" s="107">
        <f t="shared" si="1"/>
        <v>0</v>
      </c>
      <c r="I86" s="107">
        <v>0</v>
      </c>
      <c r="J86" s="322"/>
    </row>
    <row r="87" spans="1:10" s="30" customFormat="1" ht="18.75">
      <c r="A87" s="23" t="s">
        <v>156</v>
      </c>
      <c r="B87" s="38">
        <v>386</v>
      </c>
      <c r="C87" s="318"/>
      <c r="D87" s="318"/>
      <c r="E87" s="319">
        <f t="shared" si="5"/>
        <v>0</v>
      </c>
      <c r="F87" s="320"/>
      <c r="G87" s="320"/>
      <c r="H87" s="107">
        <f t="shared" si="1"/>
        <v>0</v>
      </c>
      <c r="I87" s="107">
        <v>0</v>
      </c>
      <c r="J87" s="322"/>
    </row>
    <row r="88" spans="1:10" s="30" customFormat="1" ht="18.75">
      <c r="A88" s="33" t="s">
        <v>157</v>
      </c>
      <c r="B88" s="34"/>
      <c r="C88" s="34"/>
      <c r="D88" s="34"/>
      <c r="E88" s="34"/>
      <c r="F88" s="34"/>
      <c r="G88" s="34"/>
      <c r="H88" s="107">
        <f t="shared" si="1"/>
        <v>0</v>
      </c>
      <c r="I88" s="107">
        <v>0</v>
      </c>
      <c r="J88" s="322"/>
    </row>
    <row r="89" spans="1:10" s="30" customFormat="1" ht="25.5" customHeight="1">
      <c r="A89" s="23" t="s">
        <v>158</v>
      </c>
      <c r="B89" s="40">
        <v>390</v>
      </c>
      <c r="C89" s="318">
        <f>SUM(C90:C93)</f>
        <v>0</v>
      </c>
      <c r="D89" s="318">
        <f>SUM(D90:D93)</f>
        <v>0</v>
      </c>
      <c r="E89" s="319">
        <f aca="true" t="shared" si="6" ref="E89:E101">SUM(F89:I89)</f>
        <v>0</v>
      </c>
      <c r="F89" s="320">
        <f>SUM(F90:F93)</f>
        <v>0</v>
      </c>
      <c r="G89" s="320">
        <f>SUM(G90:G93)</f>
        <v>0</v>
      </c>
      <c r="H89" s="107">
        <f t="shared" si="1"/>
        <v>0</v>
      </c>
      <c r="I89" s="107">
        <v>0</v>
      </c>
      <c r="J89" s="322"/>
    </row>
    <row r="90" spans="1:10" s="30" customFormat="1" ht="18.75">
      <c r="A90" s="26" t="s">
        <v>159</v>
      </c>
      <c r="B90" s="41">
        <v>391</v>
      </c>
      <c r="C90" s="318"/>
      <c r="D90" s="318"/>
      <c r="E90" s="319">
        <f t="shared" si="6"/>
        <v>0</v>
      </c>
      <c r="F90" s="320"/>
      <c r="G90" s="320"/>
      <c r="H90" s="107">
        <f t="shared" si="1"/>
        <v>0</v>
      </c>
      <c r="I90" s="107">
        <v>0</v>
      </c>
      <c r="J90" s="322"/>
    </row>
    <row r="91" spans="1:10" s="30" customFormat="1" ht="18.75">
      <c r="A91" s="26" t="s">
        <v>160</v>
      </c>
      <c r="B91" s="41">
        <v>392</v>
      </c>
      <c r="C91" s="318"/>
      <c r="D91" s="318"/>
      <c r="E91" s="319">
        <f t="shared" si="6"/>
        <v>0</v>
      </c>
      <c r="F91" s="320"/>
      <c r="G91" s="320"/>
      <c r="H91" s="107">
        <f t="shared" si="1"/>
        <v>0</v>
      </c>
      <c r="I91" s="107">
        <v>0</v>
      </c>
      <c r="J91" s="322"/>
    </row>
    <row r="92" spans="1:10" s="30" customFormat="1" ht="18.75">
      <c r="A92" s="26" t="s">
        <v>161</v>
      </c>
      <c r="B92" s="41">
        <v>393</v>
      </c>
      <c r="C92" s="318"/>
      <c r="D92" s="318"/>
      <c r="E92" s="319">
        <f t="shared" si="6"/>
        <v>0</v>
      </c>
      <c r="F92" s="320"/>
      <c r="G92" s="320"/>
      <c r="H92" s="107">
        <f t="shared" si="1"/>
        <v>0</v>
      </c>
      <c r="I92" s="107">
        <v>0</v>
      </c>
      <c r="J92" s="322"/>
    </row>
    <row r="93" spans="1:10" s="30" customFormat="1" ht="37.5">
      <c r="A93" s="23" t="s">
        <v>961</v>
      </c>
      <c r="B93" s="40">
        <v>400</v>
      </c>
      <c r="C93" s="318"/>
      <c r="D93" s="318"/>
      <c r="E93" s="319">
        <f t="shared" si="6"/>
        <v>0</v>
      </c>
      <c r="F93" s="320"/>
      <c r="G93" s="320"/>
      <c r="H93" s="107">
        <f t="shared" si="1"/>
        <v>0</v>
      </c>
      <c r="I93" s="107">
        <v>0</v>
      </c>
      <c r="J93" s="322"/>
    </row>
    <row r="94" spans="1:10" s="30" customFormat="1" ht="21" customHeight="1">
      <c r="A94" s="23" t="s">
        <v>162</v>
      </c>
      <c r="B94" s="40">
        <v>410</v>
      </c>
      <c r="C94" s="318">
        <f>SUM(C95:C98)</f>
        <v>0</v>
      </c>
      <c r="D94" s="318">
        <f>SUM(D95:D98)</f>
        <v>0</v>
      </c>
      <c r="E94" s="319">
        <f t="shared" si="6"/>
        <v>0</v>
      </c>
      <c r="F94" s="320">
        <f>SUM(F95:F98)</f>
        <v>0</v>
      </c>
      <c r="G94" s="320">
        <f>SUM(G95:G98)</f>
        <v>0</v>
      </c>
      <c r="H94" s="107">
        <f t="shared" si="1"/>
        <v>0</v>
      </c>
      <c r="I94" s="107">
        <v>0</v>
      </c>
      <c r="J94" s="322"/>
    </row>
    <row r="95" spans="1:10" s="30" customFormat="1" ht="18.75">
      <c r="A95" s="26" t="s">
        <v>159</v>
      </c>
      <c r="B95" s="41">
        <v>411</v>
      </c>
      <c r="C95" s="318"/>
      <c r="D95" s="318"/>
      <c r="E95" s="319">
        <f t="shared" si="6"/>
        <v>0</v>
      </c>
      <c r="F95" s="320"/>
      <c r="G95" s="320"/>
      <c r="H95" s="107">
        <f aca="true" t="shared" si="7" ref="H95:H101">F95-G95</f>
        <v>0</v>
      </c>
      <c r="I95" s="107">
        <v>0</v>
      </c>
      <c r="J95" s="322"/>
    </row>
    <row r="96" spans="1:10" s="30" customFormat="1" ht="18.75">
      <c r="A96" s="26" t="s">
        <v>160</v>
      </c>
      <c r="B96" s="41">
        <v>412</v>
      </c>
      <c r="C96" s="318"/>
      <c r="D96" s="318"/>
      <c r="E96" s="319">
        <f t="shared" si="6"/>
        <v>0</v>
      </c>
      <c r="F96" s="320"/>
      <c r="G96" s="320"/>
      <c r="H96" s="107">
        <f t="shared" si="7"/>
        <v>0</v>
      </c>
      <c r="I96" s="107">
        <v>0</v>
      </c>
      <c r="J96" s="322"/>
    </row>
    <row r="97" spans="1:10" s="30" customFormat="1" ht="18.75">
      <c r="A97" s="26" t="s">
        <v>161</v>
      </c>
      <c r="B97" s="41">
        <v>413</v>
      </c>
      <c r="C97" s="318"/>
      <c r="D97" s="318"/>
      <c r="E97" s="319">
        <f t="shared" si="6"/>
        <v>0</v>
      </c>
      <c r="F97" s="320"/>
      <c r="G97" s="320"/>
      <c r="H97" s="107">
        <f>F97-G97</f>
        <v>0</v>
      </c>
      <c r="I97" s="107">
        <v>0</v>
      </c>
      <c r="J97" s="322"/>
    </row>
    <row r="98" spans="1:10" s="30" customFormat="1" ht="18.75">
      <c r="A98" s="23" t="s">
        <v>133</v>
      </c>
      <c r="B98" s="40">
        <v>420</v>
      </c>
      <c r="C98" s="318"/>
      <c r="D98" s="318"/>
      <c r="E98" s="319">
        <f t="shared" si="6"/>
        <v>0</v>
      </c>
      <c r="F98" s="320"/>
      <c r="G98" s="320"/>
      <c r="H98" s="107">
        <f t="shared" si="7"/>
        <v>0</v>
      </c>
      <c r="I98" s="107">
        <v>0</v>
      </c>
      <c r="J98" s="322"/>
    </row>
    <row r="99" spans="1:10" ht="18.75">
      <c r="A99" s="21" t="s">
        <v>163</v>
      </c>
      <c r="B99" s="42">
        <v>500</v>
      </c>
      <c r="C99" s="325">
        <f>SUM(C30+C31+C32+C67+C79+C89)</f>
        <v>0</v>
      </c>
      <c r="D99" s="325">
        <f>SUM(D30+D31+D32+D67+D79+D89)</f>
        <v>0</v>
      </c>
      <c r="E99" s="323">
        <f t="shared" si="6"/>
        <v>24409.553318325863</v>
      </c>
      <c r="F99" s="326">
        <f>F30+F31+F32</f>
        <v>12159.990000000002</v>
      </c>
      <c r="G99" s="326">
        <f>G30+G31+G32</f>
        <v>13575.460000000003</v>
      </c>
      <c r="H99" s="321">
        <f t="shared" si="7"/>
        <v>-1415.4700000000012</v>
      </c>
      <c r="I99" s="107">
        <f>F99/G99*100</f>
        <v>89.5733183258615</v>
      </c>
      <c r="J99" s="322"/>
    </row>
    <row r="100" spans="1:10" ht="18.75">
      <c r="A100" s="21" t="s">
        <v>164</v>
      </c>
      <c r="B100" s="42">
        <v>600</v>
      </c>
      <c r="C100" s="325">
        <f>C37+C40+C41+C47+C48+C51+C53+C54+C55+C81+C94</f>
        <v>0</v>
      </c>
      <c r="D100" s="325">
        <f>D37+D40+D41+D47+D48+D51+D53+D54+D55+D81+D94</f>
        <v>0</v>
      </c>
      <c r="E100" s="323">
        <f>SUM(F100:I100)</f>
        <v>-24230.406681674136</v>
      </c>
      <c r="F100" s="327">
        <f>F77+F81</f>
        <v>-12159.989999999998</v>
      </c>
      <c r="G100" s="327">
        <f>G77+G81</f>
        <v>-13575.460000000001</v>
      </c>
      <c r="H100" s="321">
        <f t="shared" si="7"/>
        <v>1415.470000000003</v>
      </c>
      <c r="I100" s="107">
        <f>F100/G100*100</f>
        <v>89.57331832586149</v>
      </c>
      <c r="J100" s="322"/>
    </row>
    <row r="101" spans="1:10" ht="18.75">
      <c r="A101" s="23" t="s">
        <v>165</v>
      </c>
      <c r="B101" s="24">
        <v>650</v>
      </c>
      <c r="C101" s="318"/>
      <c r="D101" s="318"/>
      <c r="E101" s="319">
        <f t="shared" si="6"/>
        <v>0</v>
      </c>
      <c r="F101" s="320">
        <f>F99+F100</f>
        <v>0</v>
      </c>
      <c r="G101" s="320">
        <f>G99+G100</f>
        <v>0</v>
      </c>
      <c r="H101" s="107">
        <f t="shared" si="7"/>
        <v>0</v>
      </c>
      <c r="I101" s="107">
        <v>0</v>
      </c>
      <c r="J101" s="322"/>
    </row>
    <row r="102" spans="1:10" ht="15" customHeight="1">
      <c r="A102" s="33" t="s">
        <v>166</v>
      </c>
      <c r="B102" s="34"/>
      <c r="C102" s="328"/>
      <c r="D102" s="328"/>
      <c r="E102" s="329" t="s">
        <v>167</v>
      </c>
      <c r="F102" s="330" t="s">
        <v>169</v>
      </c>
      <c r="G102" s="330" t="s">
        <v>170</v>
      </c>
      <c r="H102" s="115"/>
      <c r="I102" s="115"/>
      <c r="J102" s="44"/>
    </row>
    <row r="103" spans="1:10" ht="18.75">
      <c r="A103" s="23" t="s">
        <v>172</v>
      </c>
      <c r="B103" s="24">
        <v>700</v>
      </c>
      <c r="C103" s="318"/>
      <c r="D103" s="318"/>
      <c r="E103" s="318"/>
      <c r="F103" s="320">
        <v>207</v>
      </c>
      <c r="G103" s="320">
        <v>207</v>
      </c>
      <c r="H103" s="107">
        <v>207</v>
      </c>
      <c r="I103" s="107">
        <f>G103/F103*100</f>
        <v>100</v>
      </c>
      <c r="J103" s="44"/>
    </row>
    <row r="104" spans="1:10" ht="18.75">
      <c r="A104" s="23" t="s">
        <v>173</v>
      </c>
      <c r="B104" s="24">
        <v>710</v>
      </c>
      <c r="C104" s="318"/>
      <c r="D104" s="318"/>
      <c r="E104" s="318"/>
      <c r="F104" s="25">
        <v>5451.57</v>
      </c>
      <c r="G104" s="25">
        <v>5451.57</v>
      </c>
      <c r="H104" s="111">
        <f>F104-G104</f>
        <v>0</v>
      </c>
      <c r="I104" s="111">
        <f>H104</f>
        <v>0</v>
      </c>
      <c r="J104" s="44"/>
    </row>
    <row r="105" spans="1:10" ht="18.75">
      <c r="A105" s="23" t="s">
        <v>174</v>
      </c>
      <c r="B105" s="24">
        <v>720</v>
      </c>
      <c r="C105" s="318"/>
      <c r="D105" s="318"/>
      <c r="E105" s="318"/>
      <c r="F105" s="25">
        <v>0</v>
      </c>
      <c r="G105" s="25">
        <v>0</v>
      </c>
      <c r="H105" s="111">
        <v>0</v>
      </c>
      <c r="I105" s="111">
        <v>0</v>
      </c>
      <c r="J105" s="44"/>
    </row>
    <row r="106" spans="1:10" ht="18.75">
      <c r="A106" s="23" t="s">
        <v>175</v>
      </c>
      <c r="B106" s="24">
        <v>730</v>
      </c>
      <c r="C106" s="318"/>
      <c r="D106" s="318"/>
      <c r="E106" s="318"/>
      <c r="F106" s="25">
        <v>0</v>
      </c>
      <c r="G106" s="25">
        <v>0</v>
      </c>
      <c r="H106" s="111">
        <v>0</v>
      </c>
      <c r="I106" s="111">
        <v>0</v>
      </c>
      <c r="J106" s="44"/>
    </row>
    <row r="107" spans="1:10" ht="18.75">
      <c r="A107" s="15"/>
      <c r="B107" s="45"/>
      <c r="C107" s="331"/>
      <c r="D107" s="331"/>
      <c r="E107" s="331"/>
      <c r="F107" s="331"/>
      <c r="G107" s="331"/>
      <c r="H107" s="116"/>
      <c r="I107" s="116"/>
      <c r="J107" s="44"/>
    </row>
    <row r="108" spans="1:10" ht="18.75">
      <c r="A108" s="15"/>
      <c r="B108" s="45"/>
      <c r="C108" s="331"/>
      <c r="D108" s="331"/>
      <c r="E108" s="331"/>
      <c r="F108" s="331"/>
      <c r="G108" s="331"/>
      <c r="H108" s="116"/>
      <c r="I108" s="116"/>
      <c r="J108" s="44"/>
    </row>
    <row r="109" spans="1:9" ht="18.75">
      <c r="A109" s="15"/>
      <c r="C109" s="47"/>
      <c r="D109" s="48"/>
      <c r="E109" s="48"/>
      <c r="F109" s="48"/>
      <c r="G109" s="48"/>
      <c r="H109" s="117"/>
      <c r="I109" s="117"/>
    </row>
    <row r="110" spans="1:9" ht="18.75">
      <c r="A110" s="332" t="s">
        <v>962</v>
      </c>
      <c r="B110" s="45"/>
      <c r="C110" s="433" t="s">
        <v>176</v>
      </c>
      <c r="D110" s="433"/>
      <c r="E110" s="433"/>
      <c r="F110" s="333"/>
      <c r="G110" s="469" t="s">
        <v>963</v>
      </c>
      <c r="H110" s="469"/>
      <c r="I110" s="469"/>
    </row>
    <row r="111" spans="1:9" s="52" customFormat="1" ht="12.75">
      <c r="A111" s="50" t="s">
        <v>177</v>
      </c>
      <c r="B111" s="51"/>
      <c r="C111" s="435" t="s">
        <v>178</v>
      </c>
      <c r="D111" s="435"/>
      <c r="E111" s="435"/>
      <c r="F111" s="334"/>
      <c r="G111" s="470" t="s">
        <v>179</v>
      </c>
      <c r="H111" s="470"/>
      <c r="I111" s="470"/>
    </row>
    <row r="112" spans="1:9" ht="18.75">
      <c r="A112" s="15"/>
      <c r="C112" s="47"/>
      <c r="D112" s="48"/>
      <c r="E112" s="48"/>
      <c r="F112" s="48"/>
      <c r="G112" s="48"/>
      <c r="H112" s="117"/>
      <c r="I112" s="117"/>
    </row>
    <row r="113" spans="1:9" ht="18.75">
      <c r="A113" s="15"/>
      <c r="C113" s="47"/>
      <c r="D113" s="48"/>
      <c r="E113" s="48"/>
      <c r="F113" s="48"/>
      <c r="G113" s="48"/>
      <c r="H113" s="117"/>
      <c r="I113" s="117"/>
    </row>
    <row r="114" spans="1:9" ht="18.75">
      <c r="A114" s="15"/>
      <c r="C114" s="47"/>
      <c r="D114" s="48"/>
      <c r="E114" s="48"/>
      <c r="F114" s="48"/>
      <c r="G114" s="48"/>
      <c r="H114" s="117"/>
      <c r="I114" s="117"/>
    </row>
    <row r="115" spans="1:9" ht="18.75">
      <c r="A115" s="15"/>
      <c r="C115" s="47"/>
      <c r="D115" s="48"/>
      <c r="E115" s="48"/>
      <c r="F115" s="48"/>
      <c r="G115" s="48"/>
      <c r="H115" s="117"/>
      <c r="I115" s="117"/>
    </row>
    <row r="116" spans="1:9" ht="18.75">
      <c r="A116" s="15"/>
      <c r="C116" s="47"/>
      <c r="D116" s="48"/>
      <c r="E116" s="48"/>
      <c r="F116" s="48"/>
      <c r="G116" s="48"/>
      <c r="H116" s="117"/>
      <c r="I116" s="117"/>
    </row>
    <row r="117" spans="1:9" ht="18.75">
      <c r="A117" s="15"/>
      <c r="C117" s="47"/>
      <c r="D117" s="48"/>
      <c r="E117" s="48"/>
      <c r="F117" s="48"/>
      <c r="G117" s="48"/>
      <c r="H117" s="117"/>
      <c r="I117" s="117"/>
    </row>
    <row r="118" spans="1:9" ht="18.75">
      <c r="A118" s="15"/>
      <c r="C118" s="47"/>
      <c r="D118" s="48"/>
      <c r="E118" s="48"/>
      <c r="F118" s="48"/>
      <c r="G118" s="48"/>
      <c r="H118" s="117"/>
      <c r="I118" s="117"/>
    </row>
    <row r="119" spans="1:9" ht="18.75">
      <c r="A119" s="15"/>
      <c r="C119" s="47"/>
      <c r="D119" s="48"/>
      <c r="E119" s="48"/>
      <c r="F119" s="48"/>
      <c r="G119" s="48"/>
      <c r="H119" s="117"/>
      <c r="I119" s="117"/>
    </row>
    <row r="120" spans="1:9" ht="18.75">
      <c r="A120" s="15"/>
      <c r="C120" s="47"/>
      <c r="D120" s="48"/>
      <c r="E120" s="48"/>
      <c r="F120" s="48"/>
      <c r="G120" s="48"/>
      <c r="H120" s="117"/>
      <c r="I120" s="117"/>
    </row>
    <row r="121" spans="1:9" ht="18.75">
      <c r="A121" s="15"/>
      <c r="C121" s="47"/>
      <c r="D121" s="48"/>
      <c r="E121" s="48"/>
      <c r="F121" s="48"/>
      <c r="G121" s="48"/>
      <c r="H121" s="117"/>
      <c r="I121" s="117"/>
    </row>
    <row r="122" spans="1:9" ht="18.75">
      <c r="A122" s="15"/>
      <c r="C122" s="47"/>
      <c r="D122" s="48"/>
      <c r="E122" s="48"/>
      <c r="F122" s="48"/>
      <c r="G122" s="48"/>
      <c r="H122" s="117"/>
      <c r="I122" s="117"/>
    </row>
    <row r="123" spans="1:9" ht="18.75">
      <c r="A123" s="15"/>
      <c r="C123" s="47"/>
      <c r="D123" s="48"/>
      <c r="E123" s="48"/>
      <c r="F123" s="48"/>
      <c r="G123" s="48"/>
      <c r="H123" s="117"/>
      <c r="I123" s="117"/>
    </row>
    <row r="124" spans="1:9" ht="18.75">
      <c r="A124" s="15"/>
      <c r="C124" s="47"/>
      <c r="D124" s="48"/>
      <c r="E124" s="48"/>
      <c r="F124" s="48"/>
      <c r="G124" s="48"/>
      <c r="H124" s="117"/>
      <c r="I124" s="117"/>
    </row>
    <row r="125" spans="1:9" ht="18.75">
      <c r="A125" s="15"/>
      <c r="C125" s="47"/>
      <c r="D125" s="48"/>
      <c r="E125" s="48"/>
      <c r="F125" s="48"/>
      <c r="G125" s="48"/>
      <c r="H125" s="117"/>
      <c r="I125" s="117"/>
    </row>
    <row r="126" spans="1:9" ht="18.75">
      <c r="A126" s="15"/>
      <c r="C126" s="47"/>
      <c r="D126" s="48"/>
      <c r="E126" s="48"/>
      <c r="F126" s="48"/>
      <c r="G126" s="48"/>
      <c r="H126" s="117"/>
      <c r="I126" s="117"/>
    </row>
    <row r="127" spans="1:9" ht="18.75">
      <c r="A127" s="15"/>
      <c r="C127" s="47"/>
      <c r="D127" s="48"/>
      <c r="E127" s="48"/>
      <c r="F127" s="48"/>
      <c r="G127" s="48"/>
      <c r="H127" s="117"/>
      <c r="I127" s="117"/>
    </row>
    <row r="128" spans="1:9" ht="18.75">
      <c r="A128" s="15"/>
      <c r="C128" s="47"/>
      <c r="D128" s="48"/>
      <c r="E128" s="48"/>
      <c r="F128" s="48"/>
      <c r="G128" s="48"/>
      <c r="H128" s="117"/>
      <c r="I128" s="117"/>
    </row>
    <row r="129" spans="1:9" ht="18.75">
      <c r="A129" s="15"/>
      <c r="C129" s="47"/>
      <c r="D129" s="48"/>
      <c r="E129" s="48"/>
      <c r="F129" s="48"/>
      <c r="G129" s="48"/>
      <c r="H129" s="117"/>
      <c r="I129" s="117"/>
    </row>
    <row r="130" spans="1:9" ht="18.75">
      <c r="A130" s="15"/>
      <c r="C130" s="47"/>
      <c r="D130" s="48"/>
      <c r="E130" s="48"/>
      <c r="F130" s="48"/>
      <c r="G130" s="48"/>
      <c r="H130" s="117"/>
      <c r="I130" s="117"/>
    </row>
    <row r="131" spans="1:9" ht="18.75">
      <c r="A131" s="15"/>
      <c r="C131" s="47"/>
      <c r="D131" s="48"/>
      <c r="E131" s="48"/>
      <c r="F131" s="48"/>
      <c r="G131" s="48"/>
      <c r="H131" s="117"/>
      <c r="I131" s="117"/>
    </row>
    <row r="132" spans="1:9" ht="18.75">
      <c r="A132" s="15"/>
      <c r="C132" s="47"/>
      <c r="D132" s="48"/>
      <c r="E132" s="48"/>
      <c r="F132" s="48"/>
      <c r="G132" s="48"/>
      <c r="H132" s="117"/>
      <c r="I132" s="117"/>
    </row>
    <row r="133" spans="1:9" ht="18.75">
      <c r="A133" s="15"/>
      <c r="C133" s="47"/>
      <c r="D133" s="48"/>
      <c r="E133" s="48"/>
      <c r="F133" s="48"/>
      <c r="G133" s="48"/>
      <c r="H133" s="117"/>
      <c r="I133" s="117"/>
    </row>
    <row r="134" spans="1:9" ht="18.75">
      <c r="A134" s="15"/>
      <c r="C134" s="47"/>
      <c r="D134" s="48"/>
      <c r="E134" s="48"/>
      <c r="F134" s="48"/>
      <c r="G134" s="48"/>
      <c r="H134" s="117"/>
      <c r="I134" s="117"/>
    </row>
    <row r="135" spans="1:9" ht="18.75">
      <c r="A135" s="15"/>
      <c r="C135" s="47"/>
      <c r="D135" s="48"/>
      <c r="E135" s="48"/>
      <c r="F135" s="48"/>
      <c r="G135" s="48"/>
      <c r="H135" s="117"/>
      <c r="I135" s="117"/>
    </row>
    <row r="136" spans="1:9" ht="18.75">
      <c r="A136" s="15"/>
      <c r="C136" s="47"/>
      <c r="D136" s="48"/>
      <c r="E136" s="48"/>
      <c r="F136" s="48"/>
      <c r="G136" s="48"/>
      <c r="H136" s="117"/>
      <c r="I136" s="117"/>
    </row>
    <row r="137" spans="1:9" ht="18.75">
      <c r="A137" s="15"/>
      <c r="C137" s="47"/>
      <c r="D137" s="48"/>
      <c r="E137" s="48"/>
      <c r="F137" s="48"/>
      <c r="G137" s="48"/>
      <c r="H137" s="117"/>
      <c r="I137" s="117"/>
    </row>
    <row r="138" spans="1:9" ht="18.75">
      <c r="A138" s="15"/>
      <c r="C138" s="47"/>
      <c r="D138" s="48"/>
      <c r="E138" s="48"/>
      <c r="F138" s="48"/>
      <c r="G138" s="48"/>
      <c r="H138" s="117"/>
      <c r="I138" s="117"/>
    </row>
    <row r="139" spans="1:9" ht="18.75">
      <c r="A139" s="15"/>
      <c r="C139" s="47"/>
      <c r="D139" s="48"/>
      <c r="E139" s="48"/>
      <c r="F139" s="48"/>
      <c r="G139" s="48"/>
      <c r="H139" s="117"/>
      <c r="I139" s="117"/>
    </row>
    <row r="140" spans="1:9" ht="18.75">
      <c r="A140" s="15"/>
      <c r="C140" s="47"/>
      <c r="D140" s="48"/>
      <c r="E140" s="48"/>
      <c r="F140" s="48"/>
      <c r="G140" s="48"/>
      <c r="H140" s="117"/>
      <c r="I140" s="117"/>
    </row>
    <row r="141" spans="1:9" ht="18.75">
      <c r="A141" s="15"/>
      <c r="C141" s="47"/>
      <c r="D141" s="48"/>
      <c r="E141" s="48"/>
      <c r="F141" s="48"/>
      <c r="G141" s="48"/>
      <c r="H141" s="117"/>
      <c r="I141" s="117"/>
    </row>
    <row r="142" spans="1:9" ht="18.75">
      <c r="A142" s="15"/>
      <c r="C142" s="47"/>
      <c r="D142" s="48"/>
      <c r="E142" s="48"/>
      <c r="F142" s="48"/>
      <c r="G142" s="48"/>
      <c r="H142" s="117"/>
      <c r="I142" s="117"/>
    </row>
    <row r="143" spans="1:9" ht="18.75">
      <c r="A143" s="15"/>
      <c r="C143" s="47"/>
      <c r="D143" s="48"/>
      <c r="E143" s="48"/>
      <c r="F143" s="48"/>
      <c r="G143" s="48"/>
      <c r="H143" s="117"/>
      <c r="I143" s="117"/>
    </row>
    <row r="144" spans="1:9" ht="18.75">
      <c r="A144" s="15"/>
      <c r="C144" s="47"/>
      <c r="D144" s="48"/>
      <c r="E144" s="48"/>
      <c r="F144" s="48"/>
      <c r="G144" s="48"/>
      <c r="H144" s="117"/>
      <c r="I144" s="117"/>
    </row>
    <row r="145" spans="1:9" ht="18.75">
      <c r="A145" s="15"/>
      <c r="C145" s="47"/>
      <c r="D145" s="48"/>
      <c r="E145" s="48"/>
      <c r="F145" s="48"/>
      <c r="G145" s="48"/>
      <c r="H145" s="117"/>
      <c r="I145" s="117"/>
    </row>
    <row r="146" spans="1:9" ht="18.75">
      <c r="A146" s="15"/>
      <c r="C146" s="47"/>
      <c r="D146" s="48"/>
      <c r="E146" s="48"/>
      <c r="F146" s="48"/>
      <c r="G146" s="48"/>
      <c r="H146" s="117"/>
      <c r="I146" s="117"/>
    </row>
    <row r="147" spans="1:9" ht="18.75">
      <c r="A147" s="15"/>
      <c r="C147" s="47"/>
      <c r="D147" s="48"/>
      <c r="E147" s="48"/>
      <c r="F147" s="48"/>
      <c r="G147" s="48"/>
      <c r="H147" s="117"/>
      <c r="I147" s="117"/>
    </row>
    <row r="148" spans="1:9" ht="18.75">
      <c r="A148" s="15"/>
      <c r="C148" s="47"/>
      <c r="D148" s="48"/>
      <c r="E148" s="48"/>
      <c r="F148" s="48"/>
      <c r="G148" s="48"/>
      <c r="H148" s="117"/>
      <c r="I148" s="117"/>
    </row>
    <row r="149" spans="1:9" ht="18.75">
      <c r="A149" s="15"/>
      <c r="C149" s="47"/>
      <c r="D149" s="48"/>
      <c r="E149" s="48"/>
      <c r="F149" s="48"/>
      <c r="G149" s="48"/>
      <c r="H149" s="117"/>
      <c r="I149" s="117"/>
    </row>
    <row r="150" spans="1:9" ht="18.75">
      <c r="A150" s="15"/>
      <c r="C150" s="47"/>
      <c r="D150" s="48"/>
      <c r="E150" s="48"/>
      <c r="F150" s="48"/>
      <c r="G150" s="48"/>
      <c r="H150" s="117"/>
      <c r="I150" s="117"/>
    </row>
    <row r="151" spans="1:9" ht="18.75">
      <c r="A151" s="15"/>
      <c r="C151" s="47"/>
      <c r="D151" s="48"/>
      <c r="E151" s="48"/>
      <c r="F151" s="48"/>
      <c r="G151" s="48"/>
      <c r="H151" s="117"/>
      <c r="I151" s="117"/>
    </row>
    <row r="152" spans="1:9" ht="18.75">
      <c r="A152" s="15"/>
      <c r="C152" s="47"/>
      <c r="D152" s="48"/>
      <c r="E152" s="48"/>
      <c r="F152" s="48"/>
      <c r="G152" s="48"/>
      <c r="H152" s="117"/>
      <c r="I152" s="117"/>
    </row>
    <row r="153" ht="18.75">
      <c r="A153" s="53"/>
    </row>
    <row r="154" ht="18.75">
      <c r="A154" s="53"/>
    </row>
    <row r="155" ht="18.75">
      <c r="A155" s="53"/>
    </row>
    <row r="156" ht="18.75">
      <c r="A156" s="53"/>
    </row>
    <row r="157" ht="18.75">
      <c r="A157" s="53"/>
    </row>
    <row r="158" ht="18.75">
      <c r="A158" s="53"/>
    </row>
    <row r="159" ht="18.75">
      <c r="A159" s="53"/>
    </row>
    <row r="160" ht="18.75">
      <c r="A160" s="53"/>
    </row>
    <row r="161" spans="1:9" s="13" customFormat="1" ht="18.75">
      <c r="A161" s="53"/>
      <c r="E161" s="12"/>
      <c r="F161" s="12"/>
      <c r="G161" s="12"/>
      <c r="H161" s="307"/>
      <c r="I161" s="307"/>
    </row>
    <row r="162" spans="1:9" s="13" customFormat="1" ht="18.75">
      <c r="A162" s="53"/>
      <c r="E162" s="12"/>
      <c r="F162" s="12"/>
      <c r="G162" s="12"/>
      <c r="H162" s="307"/>
      <c r="I162" s="307"/>
    </row>
    <row r="163" spans="1:9" s="13" customFormat="1" ht="18.75">
      <c r="A163" s="53"/>
      <c r="E163" s="12"/>
      <c r="F163" s="12"/>
      <c r="G163" s="12"/>
      <c r="H163" s="307"/>
      <c r="I163" s="307"/>
    </row>
    <row r="164" spans="1:9" s="13" customFormat="1" ht="18.75">
      <c r="A164" s="53"/>
      <c r="E164" s="12"/>
      <c r="F164" s="12"/>
      <c r="G164" s="12"/>
      <c r="H164" s="307"/>
      <c r="I164" s="307"/>
    </row>
    <row r="165" spans="1:9" s="13" customFormat="1" ht="18.75">
      <c r="A165" s="53"/>
      <c r="E165" s="12"/>
      <c r="F165" s="12"/>
      <c r="G165" s="12"/>
      <c r="H165" s="307"/>
      <c r="I165" s="307"/>
    </row>
    <row r="166" spans="1:9" s="13" customFormat="1" ht="18.75">
      <c r="A166" s="53"/>
      <c r="E166" s="12"/>
      <c r="F166" s="12"/>
      <c r="G166" s="12"/>
      <c r="H166" s="307"/>
      <c r="I166" s="307"/>
    </row>
    <row r="167" spans="1:9" s="13" customFormat="1" ht="18.75">
      <c r="A167" s="53"/>
      <c r="E167" s="12"/>
      <c r="F167" s="12"/>
      <c r="G167" s="12"/>
      <c r="H167" s="307"/>
      <c r="I167" s="307"/>
    </row>
    <row r="168" spans="1:9" s="13" customFormat="1" ht="18.75">
      <c r="A168" s="53"/>
      <c r="E168" s="12"/>
      <c r="F168" s="12"/>
      <c r="G168" s="12"/>
      <c r="H168" s="307"/>
      <c r="I168" s="307"/>
    </row>
    <row r="169" spans="1:9" s="13" customFormat="1" ht="18.75">
      <c r="A169" s="53"/>
      <c r="E169" s="12"/>
      <c r="F169" s="12"/>
      <c r="G169" s="12"/>
      <c r="H169" s="307"/>
      <c r="I169" s="307"/>
    </row>
    <row r="170" spans="1:9" s="13" customFormat="1" ht="18.75">
      <c r="A170" s="53"/>
      <c r="E170" s="12"/>
      <c r="F170" s="12"/>
      <c r="G170" s="12"/>
      <c r="H170" s="307"/>
      <c r="I170" s="307"/>
    </row>
    <row r="171" spans="1:9" s="13" customFormat="1" ht="18.75">
      <c r="A171" s="53"/>
      <c r="E171" s="12"/>
      <c r="F171" s="12"/>
      <c r="G171" s="12"/>
      <c r="H171" s="307"/>
      <c r="I171" s="307"/>
    </row>
    <row r="172" spans="1:9" s="13" customFormat="1" ht="18.75">
      <c r="A172" s="53"/>
      <c r="E172" s="12"/>
      <c r="F172" s="12"/>
      <c r="G172" s="12"/>
      <c r="H172" s="307"/>
      <c r="I172" s="307"/>
    </row>
    <row r="173" spans="1:9" s="13" customFormat="1" ht="18.75">
      <c r="A173" s="53"/>
      <c r="E173" s="12"/>
      <c r="F173" s="12"/>
      <c r="G173" s="12"/>
      <c r="H173" s="307"/>
      <c r="I173" s="307"/>
    </row>
    <row r="174" spans="1:9" s="13" customFormat="1" ht="18.75">
      <c r="A174" s="53"/>
      <c r="E174" s="12"/>
      <c r="F174" s="12"/>
      <c r="G174" s="12"/>
      <c r="H174" s="307"/>
      <c r="I174" s="307"/>
    </row>
    <row r="175" spans="1:9" s="13" customFormat="1" ht="18.75">
      <c r="A175" s="53"/>
      <c r="E175" s="12"/>
      <c r="F175" s="12"/>
      <c r="G175" s="12"/>
      <c r="H175" s="307"/>
      <c r="I175" s="307"/>
    </row>
    <row r="176" spans="1:9" s="13" customFormat="1" ht="18.75">
      <c r="A176" s="53"/>
      <c r="E176" s="12"/>
      <c r="F176" s="12"/>
      <c r="G176" s="12"/>
      <c r="H176" s="307"/>
      <c r="I176" s="307"/>
    </row>
    <row r="177" spans="1:9" s="13" customFormat="1" ht="18.75">
      <c r="A177" s="53"/>
      <c r="E177" s="12"/>
      <c r="F177" s="12"/>
      <c r="G177" s="12"/>
      <c r="H177" s="307"/>
      <c r="I177" s="307"/>
    </row>
    <row r="178" spans="1:9" s="13" customFormat="1" ht="18.75">
      <c r="A178" s="53"/>
      <c r="E178" s="12"/>
      <c r="F178" s="12"/>
      <c r="G178" s="12"/>
      <c r="H178" s="307"/>
      <c r="I178" s="307"/>
    </row>
    <row r="179" spans="1:9" s="13" customFormat="1" ht="18.75">
      <c r="A179" s="53"/>
      <c r="E179" s="12"/>
      <c r="F179" s="12"/>
      <c r="G179" s="12"/>
      <c r="H179" s="307"/>
      <c r="I179" s="307"/>
    </row>
    <row r="180" spans="1:9" s="13" customFormat="1" ht="18.75">
      <c r="A180" s="53"/>
      <c r="E180" s="12"/>
      <c r="F180" s="12"/>
      <c r="G180" s="12"/>
      <c r="H180" s="307"/>
      <c r="I180" s="307"/>
    </row>
    <row r="181" spans="1:9" s="13" customFormat="1" ht="18.75">
      <c r="A181" s="53"/>
      <c r="E181" s="12"/>
      <c r="F181" s="12"/>
      <c r="G181" s="12"/>
      <c r="H181" s="307"/>
      <c r="I181" s="307"/>
    </row>
    <row r="182" spans="1:9" s="13" customFormat="1" ht="18.75">
      <c r="A182" s="53"/>
      <c r="E182" s="12"/>
      <c r="F182" s="12"/>
      <c r="G182" s="12"/>
      <c r="H182" s="307"/>
      <c r="I182" s="307"/>
    </row>
    <row r="183" spans="1:9" s="13" customFormat="1" ht="18.75">
      <c r="A183" s="53"/>
      <c r="E183" s="12"/>
      <c r="F183" s="12"/>
      <c r="G183" s="12"/>
      <c r="H183" s="307"/>
      <c r="I183" s="307"/>
    </row>
    <row r="184" spans="1:9" s="13" customFormat="1" ht="18.75">
      <c r="A184" s="53"/>
      <c r="E184" s="12"/>
      <c r="F184" s="12"/>
      <c r="G184" s="12"/>
      <c r="H184" s="307"/>
      <c r="I184" s="307"/>
    </row>
    <row r="185" spans="1:9" s="13" customFormat="1" ht="18.75">
      <c r="A185" s="53"/>
      <c r="E185" s="12"/>
      <c r="F185" s="12"/>
      <c r="G185" s="12"/>
      <c r="H185" s="307"/>
      <c r="I185" s="307"/>
    </row>
    <row r="186" spans="1:9" s="13" customFormat="1" ht="18.75">
      <c r="A186" s="53"/>
      <c r="E186" s="12"/>
      <c r="F186" s="12"/>
      <c r="G186" s="12"/>
      <c r="H186" s="307"/>
      <c r="I186" s="307"/>
    </row>
    <row r="187" spans="1:9" s="13" customFormat="1" ht="18.75">
      <c r="A187" s="53"/>
      <c r="E187" s="12"/>
      <c r="F187" s="12"/>
      <c r="G187" s="12"/>
      <c r="H187" s="307"/>
      <c r="I187" s="307"/>
    </row>
    <row r="188" spans="1:9" s="13" customFormat="1" ht="18.75">
      <c r="A188" s="53"/>
      <c r="E188" s="12"/>
      <c r="F188" s="12"/>
      <c r="G188" s="12"/>
      <c r="H188" s="307"/>
      <c r="I188" s="307"/>
    </row>
    <row r="189" spans="1:9" s="13" customFormat="1" ht="18.75">
      <c r="A189" s="53"/>
      <c r="E189" s="12"/>
      <c r="F189" s="12"/>
      <c r="G189" s="12"/>
      <c r="H189" s="307"/>
      <c r="I189" s="307"/>
    </row>
    <row r="190" spans="1:9" s="13" customFormat="1" ht="18.75">
      <c r="A190" s="53"/>
      <c r="E190" s="12"/>
      <c r="F190" s="12"/>
      <c r="G190" s="12"/>
      <c r="H190" s="307"/>
      <c r="I190" s="307"/>
    </row>
    <row r="191" spans="1:9" s="13" customFormat="1" ht="18.75">
      <c r="A191" s="53"/>
      <c r="E191" s="12"/>
      <c r="F191" s="12"/>
      <c r="G191" s="12"/>
      <c r="H191" s="307"/>
      <c r="I191" s="307"/>
    </row>
    <row r="192" spans="1:9" s="13" customFormat="1" ht="18.75">
      <c r="A192" s="53"/>
      <c r="E192" s="12"/>
      <c r="F192" s="12"/>
      <c r="G192" s="12"/>
      <c r="H192" s="307"/>
      <c r="I192" s="307"/>
    </row>
    <row r="193" spans="1:9" s="13" customFormat="1" ht="18.75">
      <c r="A193" s="53"/>
      <c r="E193" s="12"/>
      <c r="F193" s="12"/>
      <c r="G193" s="12"/>
      <c r="H193" s="307"/>
      <c r="I193" s="307"/>
    </row>
    <row r="194" spans="1:9" s="13" customFormat="1" ht="18.75">
      <c r="A194" s="53"/>
      <c r="E194" s="12"/>
      <c r="F194" s="12"/>
      <c r="G194" s="12"/>
      <c r="H194" s="307"/>
      <c r="I194" s="307"/>
    </row>
    <row r="195" spans="1:9" s="13" customFormat="1" ht="18.75">
      <c r="A195" s="53"/>
      <c r="E195" s="12"/>
      <c r="F195" s="12"/>
      <c r="G195" s="12"/>
      <c r="H195" s="307"/>
      <c r="I195" s="307"/>
    </row>
    <row r="196" spans="1:9" s="13" customFormat="1" ht="18.75">
      <c r="A196" s="53"/>
      <c r="E196" s="12"/>
      <c r="F196" s="12"/>
      <c r="G196" s="12"/>
      <c r="H196" s="307"/>
      <c r="I196" s="307"/>
    </row>
    <row r="197" spans="1:9" s="13" customFormat="1" ht="18.75">
      <c r="A197" s="53"/>
      <c r="E197" s="12"/>
      <c r="F197" s="12"/>
      <c r="G197" s="12"/>
      <c r="H197" s="307"/>
      <c r="I197" s="307"/>
    </row>
    <row r="198" spans="1:9" s="13" customFormat="1" ht="18.75">
      <c r="A198" s="53"/>
      <c r="E198" s="12"/>
      <c r="F198" s="12"/>
      <c r="G198" s="12"/>
      <c r="H198" s="307"/>
      <c r="I198" s="307"/>
    </row>
    <row r="199" spans="1:9" s="13" customFormat="1" ht="18.75">
      <c r="A199" s="53"/>
      <c r="E199" s="12"/>
      <c r="F199" s="12"/>
      <c r="G199" s="12"/>
      <c r="H199" s="307"/>
      <c r="I199" s="307"/>
    </row>
    <row r="200" spans="1:9" s="13" customFormat="1" ht="18.75">
      <c r="A200" s="53"/>
      <c r="E200" s="12"/>
      <c r="F200" s="12"/>
      <c r="G200" s="12"/>
      <c r="H200" s="307"/>
      <c r="I200" s="307"/>
    </row>
    <row r="201" spans="1:9" s="13" customFormat="1" ht="18.75">
      <c r="A201" s="53"/>
      <c r="E201" s="12"/>
      <c r="F201" s="12"/>
      <c r="G201" s="12"/>
      <c r="H201" s="307"/>
      <c r="I201" s="307"/>
    </row>
    <row r="202" spans="1:9" s="13" customFormat="1" ht="18.75">
      <c r="A202" s="53"/>
      <c r="E202" s="12"/>
      <c r="F202" s="12"/>
      <c r="G202" s="12"/>
      <c r="H202" s="307"/>
      <c r="I202" s="307"/>
    </row>
    <row r="203" spans="1:9" s="13" customFormat="1" ht="18.75">
      <c r="A203" s="53"/>
      <c r="E203" s="12"/>
      <c r="F203" s="12"/>
      <c r="G203" s="12"/>
      <c r="H203" s="307"/>
      <c r="I203" s="307"/>
    </row>
    <row r="204" spans="1:9" s="13" customFormat="1" ht="18.75">
      <c r="A204" s="53"/>
      <c r="E204" s="12"/>
      <c r="F204" s="12"/>
      <c r="G204" s="12"/>
      <c r="H204" s="307"/>
      <c r="I204" s="307"/>
    </row>
    <row r="205" spans="1:9" s="13" customFormat="1" ht="18.75">
      <c r="A205" s="53"/>
      <c r="E205" s="12"/>
      <c r="F205" s="12"/>
      <c r="G205" s="12"/>
      <c r="H205" s="307"/>
      <c r="I205" s="307"/>
    </row>
    <row r="206" spans="1:9" s="13" customFormat="1" ht="18.75">
      <c r="A206" s="53"/>
      <c r="E206" s="12"/>
      <c r="F206" s="12"/>
      <c r="G206" s="12"/>
      <c r="H206" s="307"/>
      <c r="I206" s="307"/>
    </row>
    <row r="207" spans="1:9" s="13" customFormat="1" ht="18.75">
      <c r="A207" s="53"/>
      <c r="E207" s="12"/>
      <c r="F207" s="12"/>
      <c r="G207" s="12"/>
      <c r="H207" s="307"/>
      <c r="I207" s="307"/>
    </row>
    <row r="208" spans="1:9" s="13" customFormat="1" ht="18.75">
      <c r="A208" s="53"/>
      <c r="E208" s="12"/>
      <c r="F208" s="12"/>
      <c r="G208" s="12"/>
      <c r="H208" s="307"/>
      <c r="I208" s="307"/>
    </row>
    <row r="209" spans="1:9" s="13" customFormat="1" ht="18.75">
      <c r="A209" s="53"/>
      <c r="E209" s="12"/>
      <c r="F209" s="12"/>
      <c r="G209" s="12"/>
      <c r="H209" s="307"/>
      <c r="I209" s="307"/>
    </row>
    <row r="210" spans="1:9" s="13" customFormat="1" ht="18.75">
      <c r="A210" s="53"/>
      <c r="E210" s="12"/>
      <c r="F210" s="12"/>
      <c r="G210" s="12"/>
      <c r="H210" s="307"/>
      <c r="I210" s="307"/>
    </row>
    <row r="211" spans="1:9" s="13" customFormat="1" ht="18.75">
      <c r="A211" s="53"/>
      <c r="E211" s="12"/>
      <c r="F211" s="12"/>
      <c r="G211" s="12"/>
      <c r="H211" s="307"/>
      <c r="I211" s="307"/>
    </row>
    <row r="212" spans="1:9" s="13" customFormat="1" ht="18.75">
      <c r="A212" s="53"/>
      <c r="E212" s="12"/>
      <c r="F212" s="12"/>
      <c r="G212" s="12"/>
      <c r="H212" s="307"/>
      <c r="I212" s="307"/>
    </row>
    <row r="213" spans="1:9" s="13" customFormat="1" ht="18.75">
      <c r="A213" s="53"/>
      <c r="E213" s="12"/>
      <c r="F213" s="12"/>
      <c r="G213" s="12"/>
      <c r="H213" s="307"/>
      <c r="I213" s="307"/>
    </row>
    <row r="214" spans="1:9" s="13" customFormat="1" ht="18.75">
      <c r="A214" s="53"/>
      <c r="E214" s="12"/>
      <c r="F214" s="12"/>
      <c r="G214" s="12"/>
      <c r="H214" s="307"/>
      <c r="I214" s="307"/>
    </row>
    <row r="215" spans="1:9" s="13" customFormat="1" ht="18.75">
      <c r="A215" s="53"/>
      <c r="E215" s="12"/>
      <c r="F215" s="12"/>
      <c r="G215" s="12"/>
      <c r="H215" s="307"/>
      <c r="I215" s="307"/>
    </row>
    <row r="216" spans="1:9" s="13" customFormat="1" ht="18.75">
      <c r="A216" s="53"/>
      <c r="E216" s="12"/>
      <c r="F216" s="12"/>
      <c r="G216" s="12"/>
      <c r="H216" s="307"/>
      <c r="I216" s="307"/>
    </row>
    <row r="217" spans="1:9" s="13" customFormat="1" ht="18.75">
      <c r="A217" s="53"/>
      <c r="E217" s="12"/>
      <c r="F217" s="12"/>
      <c r="G217" s="12"/>
      <c r="H217" s="307"/>
      <c r="I217" s="307"/>
    </row>
    <row r="218" spans="1:9" s="13" customFormat="1" ht="18.75">
      <c r="A218" s="53"/>
      <c r="E218" s="12"/>
      <c r="F218" s="12"/>
      <c r="G218" s="12"/>
      <c r="H218" s="307"/>
      <c r="I218" s="307"/>
    </row>
    <row r="219" spans="1:9" s="13" customFormat="1" ht="18.75">
      <c r="A219" s="53"/>
      <c r="E219" s="12"/>
      <c r="F219" s="12"/>
      <c r="G219" s="12"/>
      <c r="H219" s="307"/>
      <c r="I219" s="307"/>
    </row>
    <row r="220" spans="1:9" s="13" customFormat="1" ht="18.75">
      <c r="A220" s="53"/>
      <c r="E220" s="12"/>
      <c r="F220" s="12"/>
      <c r="G220" s="12"/>
      <c r="H220" s="307"/>
      <c r="I220" s="307"/>
    </row>
    <row r="221" spans="1:9" s="13" customFormat="1" ht="18.75">
      <c r="A221" s="53"/>
      <c r="E221" s="12"/>
      <c r="F221" s="12"/>
      <c r="G221" s="12"/>
      <c r="H221" s="307"/>
      <c r="I221" s="307"/>
    </row>
    <row r="222" spans="1:9" s="13" customFormat="1" ht="18.75">
      <c r="A222" s="53"/>
      <c r="E222" s="12"/>
      <c r="F222" s="12"/>
      <c r="G222" s="12"/>
      <c r="H222" s="307"/>
      <c r="I222" s="307"/>
    </row>
    <row r="223" spans="1:9" s="13" customFormat="1" ht="18.75">
      <c r="A223" s="53"/>
      <c r="E223" s="12"/>
      <c r="F223" s="12"/>
      <c r="G223" s="12"/>
      <c r="H223" s="307"/>
      <c r="I223" s="307"/>
    </row>
    <row r="224" spans="1:9" s="13" customFormat="1" ht="18.75">
      <c r="A224" s="53"/>
      <c r="E224" s="12"/>
      <c r="F224" s="12"/>
      <c r="G224" s="12"/>
      <c r="H224" s="307"/>
      <c r="I224" s="307"/>
    </row>
    <row r="225" spans="1:9" s="13" customFormat="1" ht="18.75">
      <c r="A225" s="53"/>
      <c r="E225" s="12"/>
      <c r="F225" s="12"/>
      <c r="G225" s="12"/>
      <c r="H225" s="307"/>
      <c r="I225" s="307"/>
    </row>
    <row r="226" spans="1:9" s="13" customFormat="1" ht="18.75">
      <c r="A226" s="53"/>
      <c r="E226" s="12"/>
      <c r="F226" s="12"/>
      <c r="G226" s="12"/>
      <c r="H226" s="307"/>
      <c r="I226" s="307"/>
    </row>
    <row r="227" spans="1:9" s="13" customFormat="1" ht="18.75">
      <c r="A227" s="53"/>
      <c r="E227" s="12"/>
      <c r="F227" s="12"/>
      <c r="G227" s="12"/>
      <c r="H227" s="307"/>
      <c r="I227" s="307"/>
    </row>
    <row r="228" spans="1:9" s="13" customFormat="1" ht="18.75">
      <c r="A228" s="53"/>
      <c r="E228" s="12"/>
      <c r="F228" s="12"/>
      <c r="G228" s="12"/>
      <c r="H228" s="307"/>
      <c r="I228" s="307"/>
    </row>
    <row r="229" spans="1:9" s="13" customFormat="1" ht="18.75">
      <c r="A229" s="53"/>
      <c r="E229" s="12"/>
      <c r="F229" s="12"/>
      <c r="G229" s="12"/>
      <c r="H229" s="307"/>
      <c r="I229" s="307"/>
    </row>
    <row r="230" spans="1:9" s="13" customFormat="1" ht="18.75">
      <c r="A230" s="53"/>
      <c r="E230" s="12"/>
      <c r="F230" s="12"/>
      <c r="G230" s="12"/>
      <c r="H230" s="307"/>
      <c r="I230" s="307"/>
    </row>
    <row r="231" spans="1:9" s="13" customFormat="1" ht="18.75">
      <c r="A231" s="53"/>
      <c r="E231" s="12"/>
      <c r="F231" s="12"/>
      <c r="G231" s="12"/>
      <c r="H231" s="307"/>
      <c r="I231" s="307"/>
    </row>
    <row r="232" spans="1:9" s="13" customFormat="1" ht="18.75">
      <c r="A232" s="53"/>
      <c r="E232" s="12"/>
      <c r="F232" s="12"/>
      <c r="G232" s="12"/>
      <c r="H232" s="307"/>
      <c r="I232" s="307"/>
    </row>
    <row r="233" spans="1:9" s="13" customFormat="1" ht="18.75">
      <c r="A233" s="53"/>
      <c r="E233" s="12"/>
      <c r="F233" s="12"/>
      <c r="G233" s="12"/>
      <c r="H233" s="307"/>
      <c r="I233" s="307"/>
    </row>
    <row r="234" spans="1:9" s="13" customFormat="1" ht="18.75">
      <c r="A234" s="53"/>
      <c r="E234" s="12"/>
      <c r="F234" s="12"/>
      <c r="G234" s="12"/>
      <c r="H234" s="307"/>
      <c r="I234" s="307"/>
    </row>
    <row r="235" spans="1:9" s="13" customFormat="1" ht="18.75">
      <c r="A235" s="53"/>
      <c r="E235" s="12"/>
      <c r="F235" s="12"/>
      <c r="G235" s="12"/>
      <c r="H235" s="307"/>
      <c r="I235" s="307"/>
    </row>
    <row r="236" spans="1:9" s="13" customFormat="1" ht="18.75">
      <c r="A236" s="53"/>
      <c r="E236" s="12"/>
      <c r="F236" s="12"/>
      <c r="G236" s="12"/>
      <c r="H236" s="307"/>
      <c r="I236" s="307"/>
    </row>
    <row r="237" spans="1:9" s="13" customFormat="1" ht="18.75">
      <c r="A237" s="53"/>
      <c r="E237" s="12"/>
      <c r="F237" s="12"/>
      <c r="G237" s="12"/>
      <c r="H237" s="307"/>
      <c r="I237" s="307"/>
    </row>
    <row r="238" spans="1:9" s="13" customFormat="1" ht="18.75">
      <c r="A238" s="53"/>
      <c r="E238" s="12"/>
      <c r="F238" s="12"/>
      <c r="G238" s="12"/>
      <c r="H238" s="307"/>
      <c r="I238" s="307"/>
    </row>
    <row r="239" spans="1:9" s="13" customFormat="1" ht="18.75">
      <c r="A239" s="53"/>
      <c r="E239" s="12"/>
      <c r="F239" s="12"/>
      <c r="G239" s="12"/>
      <c r="H239" s="307"/>
      <c r="I239" s="307"/>
    </row>
    <row r="240" spans="1:9" s="13" customFormat="1" ht="18.75">
      <c r="A240" s="53"/>
      <c r="E240" s="12"/>
      <c r="F240" s="12"/>
      <c r="G240" s="12"/>
      <c r="H240" s="307"/>
      <c r="I240" s="307"/>
    </row>
    <row r="241" spans="1:9" s="13" customFormat="1" ht="18.75">
      <c r="A241" s="53"/>
      <c r="E241" s="12"/>
      <c r="F241" s="12"/>
      <c r="G241" s="12"/>
      <c r="H241" s="307"/>
      <c r="I241" s="307"/>
    </row>
    <row r="242" spans="1:9" s="13" customFormat="1" ht="18.75">
      <c r="A242" s="53"/>
      <c r="E242" s="12"/>
      <c r="F242" s="12"/>
      <c r="G242" s="12"/>
      <c r="H242" s="307"/>
      <c r="I242" s="307"/>
    </row>
    <row r="243" spans="1:9" s="13" customFormat="1" ht="18.75">
      <c r="A243" s="53"/>
      <c r="E243" s="12"/>
      <c r="F243" s="12"/>
      <c r="G243" s="12"/>
      <c r="H243" s="307"/>
      <c r="I243" s="307"/>
    </row>
    <row r="244" spans="1:9" s="13" customFormat="1" ht="18.75">
      <c r="A244" s="53"/>
      <c r="E244" s="12"/>
      <c r="F244" s="12"/>
      <c r="G244" s="12"/>
      <c r="H244" s="307"/>
      <c r="I244" s="307"/>
    </row>
    <row r="245" spans="1:9" s="13" customFormat="1" ht="18.75">
      <c r="A245" s="53"/>
      <c r="E245" s="12"/>
      <c r="F245" s="12"/>
      <c r="G245" s="12"/>
      <c r="H245" s="307"/>
      <c r="I245" s="307"/>
    </row>
    <row r="246" spans="1:9" s="13" customFormat="1" ht="18.75">
      <c r="A246" s="53"/>
      <c r="E246" s="12"/>
      <c r="F246" s="12"/>
      <c r="G246" s="12"/>
      <c r="H246" s="307"/>
      <c r="I246" s="307"/>
    </row>
    <row r="247" spans="1:9" s="13" customFormat="1" ht="18.75">
      <c r="A247" s="53"/>
      <c r="E247" s="12"/>
      <c r="F247" s="12"/>
      <c r="G247" s="12"/>
      <c r="H247" s="307"/>
      <c r="I247" s="307"/>
    </row>
    <row r="248" spans="1:9" s="13" customFormat="1" ht="18.75">
      <c r="A248" s="53"/>
      <c r="E248" s="12"/>
      <c r="F248" s="12"/>
      <c r="G248" s="12"/>
      <c r="H248" s="307"/>
      <c r="I248" s="307"/>
    </row>
    <row r="249" spans="1:9" s="13" customFormat="1" ht="18.75">
      <c r="A249" s="53"/>
      <c r="E249" s="12"/>
      <c r="F249" s="12"/>
      <c r="G249" s="12"/>
      <c r="H249" s="307"/>
      <c r="I249" s="307"/>
    </row>
    <row r="250" spans="1:9" s="13" customFormat="1" ht="18.75">
      <c r="A250" s="53"/>
      <c r="E250" s="12"/>
      <c r="F250" s="12"/>
      <c r="G250" s="12"/>
      <c r="H250" s="307"/>
      <c r="I250" s="307"/>
    </row>
    <row r="251" spans="1:9" s="13" customFormat="1" ht="18.75">
      <c r="A251" s="53"/>
      <c r="E251" s="12"/>
      <c r="F251" s="12"/>
      <c r="G251" s="12"/>
      <c r="H251" s="307"/>
      <c r="I251" s="307"/>
    </row>
    <row r="252" spans="1:9" s="13" customFormat="1" ht="18.75">
      <c r="A252" s="53"/>
      <c r="E252" s="12"/>
      <c r="F252" s="12"/>
      <c r="G252" s="12"/>
      <c r="H252" s="307"/>
      <c r="I252" s="307"/>
    </row>
    <row r="253" spans="1:9" s="13" customFormat="1" ht="18.75">
      <c r="A253" s="53"/>
      <c r="E253" s="12"/>
      <c r="F253" s="12"/>
      <c r="G253" s="12"/>
      <c r="H253" s="307"/>
      <c r="I253" s="307"/>
    </row>
    <row r="254" spans="1:9" s="13" customFormat="1" ht="18.75">
      <c r="A254" s="53"/>
      <c r="E254" s="12"/>
      <c r="F254" s="12"/>
      <c r="G254" s="12"/>
      <c r="H254" s="307"/>
      <c r="I254" s="307"/>
    </row>
    <row r="255" spans="1:9" s="13" customFormat="1" ht="18.75">
      <c r="A255" s="53"/>
      <c r="E255" s="12"/>
      <c r="F255" s="12"/>
      <c r="G255" s="12"/>
      <c r="H255" s="307"/>
      <c r="I255" s="307"/>
    </row>
    <row r="256" spans="1:9" s="13" customFormat="1" ht="18.75">
      <c r="A256" s="53"/>
      <c r="E256" s="12"/>
      <c r="F256" s="12"/>
      <c r="G256" s="12"/>
      <c r="H256" s="307"/>
      <c r="I256" s="307"/>
    </row>
    <row r="257" spans="1:9" s="13" customFormat="1" ht="18.75">
      <c r="A257" s="53"/>
      <c r="E257" s="12"/>
      <c r="F257" s="12"/>
      <c r="G257" s="12"/>
      <c r="H257" s="307"/>
      <c r="I257" s="307"/>
    </row>
    <row r="258" spans="1:9" s="13" customFormat="1" ht="18.75">
      <c r="A258" s="53"/>
      <c r="E258" s="12"/>
      <c r="F258" s="12"/>
      <c r="G258" s="12"/>
      <c r="H258" s="307"/>
      <c r="I258" s="307"/>
    </row>
    <row r="259" spans="1:9" s="13" customFormat="1" ht="18.75">
      <c r="A259" s="53"/>
      <c r="E259" s="12"/>
      <c r="F259" s="12"/>
      <c r="G259" s="12"/>
      <c r="H259" s="307"/>
      <c r="I259" s="307"/>
    </row>
    <row r="260" spans="1:9" s="13" customFormat="1" ht="18.75">
      <c r="A260" s="53"/>
      <c r="E260" s="12"/>
      <c r="F260" s="12"/>
      <c r="G260" s="12"/>
      <c r="H260" s="307"/>
      <c r="I260" s="307"/>
    </row>
    <row r="261" spans="1:9" s="13" customFormat="1" ht="18.75">
      <c r="A261" s="53"/>
      <c r="E261" s="12"/>
      <c r="F261" s="12"/>
      <c r="G261" s="12"/>
      <c r="H261" s="307"/>
      <c r="I261" s="307"/>
    </row>
    <row r="262" spans="1:9" s="13" customFormat="1" ht="18.75">
      <c r="A262" s="53"/>
      <c r="E262" s="12"/>
      <c r="F262" s="12"/>
      <c r="G262" s="12"/>
      <c r="H262" s="307"/>
      <c r="I262" s="307"/>
    </row>
    <row r="263" spans="1:9" s="13" customFormat="1" ht="18.75">
      <c r="A263" s="53"/>
      <c r="E263" s="12"/>
      <c r="F263" s="12"/>
      <c r="G263" s="12"/>
      <c r="H263" s="307"/>
      <c r="I263" s="307"/>
    </row>
    <row r="264" spans="1:9" s="13" customFormat="1" ht="18.75">
      <c r="A264" s="53"/>
      <c r="E264" s="12"/>
      <c r="F264" s="12"/>
      <c r="G264" s="12"/>
      <c r="H264" s="307"/>
      <c r="I264" s="307"/>
    </row>
    <row r="265" spans="1:9" s="13" customFormat="1" ht="18.75">
      <c r="A265" s="53"/>
      <c r="E265" s="12"/>
      <c r="F265" s="12"/>
      <c r="G265" s="12"/>
      <c r="H265" s="307"/>
      <c r="I265" s="307"/>
    </row>
    <row r="266" spans="1:9" s="13" customFormat="1" ht="18.75">
      <c r="A266" s="53"/>
      <c r="E266" s="12"/>
      <c r="F266" s="12"/>
      <c r="G266" s="12"/>
      <c r="H266" s="307"/>
      <c r="I266" s="307"/>
    </row>
    <row r="267" spans="1:9" s="13" customFormat="1" ht="18.75">
      <c r="A267" s="53"/>
      <c r="E267" s="12"/>
      <c r="F267" s="12"/>
      <c r="G267" s="12"/>
      <c r="H267" s="307"/>
      <c r="I267" s="307"/>
    </row>
    <row r="268" spans="1:9" s="13" customFormat="1" ht="18.75">
      <c r="A268" s="53"/>
      <c r="E268" s="12"/>
      <c r="F268" s="12"/>
      <c r="G268" s="12"/>
      <c r="H268" s="307"/>
      <c r="I268" s="307"/>
    </row>
    <row r="269" spans="1:9" s="13" customFormat="1" ht="18.75">
      <c r="A269" s="53"/>
      <c r="E269" s="12"/>
      <c r="F269" s="12"/>
      <c r="G269" s="12"/>
      <c r="H269" s="307"/>
      <c r="I269" s="307"/>
    </row>
    <row r="270" spans="1:9" s="13" customFormat="1" ht="18.75">
      <c r="A270" s="53"/>
      <c r="E270" s="12"/>
      <c r="F270" s="12"/>
      <c r="G270" s="12"/>
      <c r="H270" s="307"/>
      <c r="I270" s="307"/>
    </row>
    <row r="271" spans="1:9" s="13" customFormat="1" ht="18.75">
      <c r="A271" s="53"/>
      <c r="E271" s="12"/>
      <c r="F271" s="12"/>
      <c r="G271" s="12"/>
      <c r="H271" s="307"/>
      <c r="I271" s="307"/>
    </row>
    <row r="272" spans="1:9" s="13" customFormat="1" ht="18.75">
      <c r="A272" s="53"/>
      <c r="E272" s="12"/>
      <c r="F272" s="12"/>
      <c r="G272" s="12"/>
      <c r="H272" s="307"/>
      <c r="I272" s="307"/>
    </row>
    <row r="273" spans="1:9" s="13" customFormat="1" ht="18.75">
      <c r="A273" s="53"/>
      <c r="E273" s="12"/>
      <c r="F273" s="12"/>
      <c r="G273" s="12"/>
      <c r="H273" s="307"/>
      <c r="I273" s="307"/>
    </row>
    <row r="274" spans="1:9" s="13" customFormat="1" ht="18.75">
      <c r="A274" s="53"/>
      <c r="E274" s="12"/>
      <c r="F274" s="12"/>
      <c r="G274" s="12"/>
      <c r="H274" s="307"/>
      <c r="I274" s="307"/>
    </row>
    <row r="275" spans="1:9" s="13" customFormat="1" ht="18.75">
      <c r="A275" s="53"/>
      <c r="E275" s="12"/>
      <c r="F275" s="12"/>
      <c r="G275" s="12"/>
      <c r="H275" s="307"/>
      <c r="I275" s="307"/>
    </row>
    <row r="276" spans="1:9" s="13" customFormat="1" ht="18.75">
      <c r="A276" s="53"/>
      <c r="E276" s="12"/>
      <c r="F276" s="12"/>
      <c r="G276" s="12"/>
      <c r="H276" s="307"/>
      <c r="I276" s="307"/>
    </row>
    <row r="277" spans="1:9" s="13" customFormat="1" ht="18.75">
      <c r="A277" s="53"/>
      <c r="E277" s="12"/>
      <c r="F277" s="12"/>
      <c r="G277" s="12"/>
      <c r="H277" s="307"/>
      <c r="I277" s="307"/>
    </row>
    <row r="278" spans="1:9" s="13" customFormat="1" ht="18.75">
      <c r="A278" s="53"/>
      <c r="E278" s="12"/>
      <c r="F278" s="12"/>
      <c r="G278" s="12"/>
      <c r="H278" s="307"/>
      <c r="I278" s="307"/>
    </row>
    <row r="279" spans="1:9" s="13" customFormat="1" ht="18.75">
      <c r="A279" s="53"/>
      <c r="E279" s="12"/>
      <c r="F279" s="12"/>
      <c r="G279" s="12"/>
      <c r="H279" s="307"/>
      <c r="I279" s="307"/>
    </row>
    <row r="280" spans="1:9" s="13" customFormat="1" ht="18.75">
      <c r="A280" s="53"/>
      <c r="E280" s="12"/>
      <c r="F280" s="12"/>
      <c r="G280" s="12"/>
      <c r="H280" s="307"/>
      <c r="I280" s="307"/>
    </row>
    <row r="281" spans="1:9" s="13" customFormat="1" ht="18.75">
      <c r="A281" s="53"/>
      <c r="E281" s="12"/>
      <c r="F281" s="12"/>
      <c r="G281" s="12"/>
      <c r="H281" s="307"/>
      <c r="I281" s="307"/>
    </row>
    <row r="282" spans="1:9" s="13" customFormat="1" ht="18.75">
      <c r="A282" s="53"/>
      <c r="E282" s="12"/>
      <c r="F282" s="12"/>
      <c r="G282" s="12"/>
      <c r="H282" s="307"/>
      <c r="I282" s="307"/>
    </row>
    <row r="283" spans="1:9" s="13" customFormat="1" ht="18.75">
      <c r="A283" s="53"/>
      <c r="E283" s="12"/>
      <c r="F283" s="12"/>
      <c r="G283" s="12"/>
      <c r="H283" s="307"/>
      <c r="I283" s="307"/>
    </row>
    <row r="284" spans="1:9" s="13" customFormat="1" ht="18.75">
      <c r="A284" s="53"/>
      <c r="E284" s="12"/>
      <c r="F284" s="12"/>
      <c r="G284" s="12"/>
      <c r="H284" s="307"/>
      <c r="I284" s="307"/>
    </row>
    <row r="285" spans="1:9" s="13" customFormat="1" ht="18.75">
      <c r="A285" s="53"/>
      <c r="E285" s="12"/>
      <c r="F285" s="12"/>
      <c r="G285" s="12"/>
      <c r="H285" s="307"/>
      <c r="I285" s="307"/>
    </row>
    <row r="286" spans="1:9" s="13" customFormat="1" ht="18.75">
      <c r="A286" s="53"/>
      <c r="E286" s="12"/>
      <c r="F286" s="12"/>
      <c r="G286" s="12"/>
      <c r="H286" s="307"/>
      <c r="I286" s="307"/>
    </row>
    <row r="287" spans="1:9" s="13" customFormat="1" ht="18.75">
      <c r="A287" s="53"/>
      <c r="E287" s="12"/>
      <c r="F287" s="12"/>
      <c r="G287" s="12"/>
      <c r="H287" s="307"/>
      <c r="I287" s="307"/>
    </row>
    <row r="288" spans="1:9" s="13" customFormat="1" ht="18.75">
      <c r="A288" s="53"/>
      <c r="E288" s="12"/>
      <c r="F288" s="12"/>
      <c r="G288" s="12"/>
      <c r="H288" s="307"/>
      <c r="I288" s="307"/>
    </row>
    <row r="289" spans="1:9" s="13" customFormat="1" ht="18.75">
      <c r="A289" s="53"/>
      <c r="E289" s="12"/>
      <c r="F289" s="12"/>
      <c r="G289" s="12"/>
      <c r="H289" s="307"/>
      <c r="I289" s="307"/>
    </row>
    <row r="290" spans="1:9" s="13" customFormat="1" ht="18.75">
      <c r="A290" s="53"/>
      <c r="E290" s="12"/>
      <c r="F290" s="12"/>
      <c r="G290" s="12"/>
      <c r="H290" s="307"/>
      <c r="I290" s="307"/>
    </row>
    <row r="291" spans="1:9" s="13" customFormat="1" ht="18.75">
      <c r="A291" s="53"/>
      <c r="E291" s="12"/>
      <c r="F291" s="12"/>
      <c r="G291" s="12"/>
      <c r="H291" s="307"/>
      <c r="I291" s="307"/>
    </row>
    <row r="292" spans="1:9" s="13" customFormat="1" ht="18.75">
      <c r="A292" s="53"/>
      <c r="E292" s="12"/>
      <c r="F292" s="12"/>
      <c r="G292" s="12"/>
      <c r="H292" s="307"/>
      <c r="I292" s="307"/>
    </row>
    <row r="293" spans="1:9" s="13" customFormat="1" ht="18.75">
      <c r="A293" s="53"/>
      <c r="E293" s="12"/>
      <c r="F293" s="12"/>
      <c r="G293" s="12"/>
      <c r="H293" s="307"/>
      <c r="I293" s="307"/>
    </row>
    <row r="294" spans="1:9" s="13" customFormat="1" ht="18.75">
      <c r="A294" s="53"/>
      <c r="E294" s="12"/>
      <c r="F294" s="12"/>
      <c r="G294" s="12"/>
      <c r="H294" s="307"/>
      <c r="I294" s="307"/>
    </row>
    <row r="295" spans="1:9" s="13" customFormat="1" ht="18.75">
      <c r="A295" s="53"/>
      <c r="E295" s="12"/>
      <c r="F295" s="12"/>
      <c r="G295" s="12"/>
      <c r="H295" s="307"/>
      <c r="I295" s="307"/>
    </row>
    <row r="296" spans="1:9" s="13" customFormat="1" ht="18.75">
      <c r="A296" s="53"/>
      <c r="E296" s="12"/>
      <c r="F296" s="12"/>
      <c r="G296" s="12"/>
      <c r="H296" s="307"/>
      <c r="I296" s="307"/>
    </row>
    <row r="297" spans="1:9" s="13" customFormat="1" ht="18.75">
      <c r="A297" s="53"/>
      <c r="E297" s="12"/>
      <c r="F297" s="12"/>
      <c r="G297" s="12"/>
      <c r="H297" s="307"/>
      <c r="I297" s="307"/>
    </row>
    <row r="298" spans="1:9" s="13" customFormat="1" ht="18.75">
      <c r="A298" s="53"/>
      <c r="E298" s="12"/>
      <c r="F298" s="12"/>
      <c r="G298" s="12"/>
      <c r="H298" s="307"/>
      <c r="I298" s="307"/>
    </row>
    <row r="299" spans="1:9" s="13" customFormat="1" ht="18.75">
      <c r="A299" s="53"/>
      <c r="E299" s="12"/>
      <c r="F299" s="12"/>
      <c r="G299" s="12"/>
      <c r="H299" s="307"/>
      <c r="I299" s="307"/>
    </row>
    <row r="300" spans="1:9" s="13" customFormat="1" ht="18.75">
      <c r="A300" s="53"/>
      <c r="E300" s="12"/>
      <c r="F300" s="12"/>
      <c r="G300" s="12"/>
      <c r="H300" s="307"/>
      <c r="I300" s="307"/>
    </row>
    <row r="301" spans="1:9" s="13" customFormat="1" ht="18.75">
      <c r="A301" s="53"/>
      <c r="E301" s="12"/>
      <c r="F301" s="12"/>
      <c r="G301" s="12"/>
      <c r="H301" s="307"/>
      <c r="I301" s="307"/>
    </row>
    <row r="302" spans="1:9" s="13" customFormat="1" ht="18.75">
      <c r="A302" s="53"/>
      <c r="E302" s="12"/>
      <c r="F302" s="12"/>
      <c r="G302" s="12"/>
      <c r="H302" s="307"/>
      <c r="I302" s="307"/>
    </row>
    <row r="303" spans="1:9" s="13" customFormat="1" ht="18.75">
      <c r="A303" s="53"/>
      <c r="E303" s="12"/>
      <c r="F303" s="12"/>
      <c r="G303" s="12"/>
      <c r="H303" s="307"/>
      <c r="I303" s="307"/>
    </row>
    <row r="304" spans="1:9" s="13" customFormat="1" ht="18.75">
      <c r="A304" s="53"/>
      <c r="E304" s="12"/>
      <c r="F304" s="12"/>
      <c r="G304" s="12"/>
      <c r="H304" s="307"/>
      <c r="I304" s="307"/>
    </row>
    <row r="305" spans="1:9" s="13" customFormat="1" ht="18.75">
      <c r="A305" s="53"/>
      <c r="E305" s="12"/>
      <c r="F305" s="12"/>
      <c r="G305" s="12"/>
      <c r="H305" s="307"/>
      <c r="I305" s="307"/>
    </row>
    <row r="306" spans="1:9" s="13" customFormat="1" ht="18.75">
      <c r="A306" s="53"/>
      <c r="E306" s="12"/>
      <c r="F306" s="12"/>
      <c r="G306" s="12"/>
      <c r="H306" s="307"/>
      <c r="I306" s="307"/>
    </row>
    <row r="307" spans="1:9" s="13" customFormat="1" ht="18.75">
      <c r="A307" s="53"/>
      <c r="E307" s="12"/>
      <c r="F307" s="12"/>
      <c r="G307" s="12"/>
      <c r="H307" s="307"/>
      <c r="I307" s="307"/>
    </row>
    <row r="308" spans="1:9" s="13" customFormat="1" ht="18.75">
      <c r="A308" s="53"/>
      <c r="E308" s="12"/>
      <c r="F308" s="12"/>
      <c r="G308" s="12"/>
      <c r="H308" s="307"/>
      <c r="I308" s="307"/>
    </row>
    <row r="309" spans="1:9" s="13" customFormat="1" ht="18.75">
      <c r="A309" s="53"/>
      <c r="E309" s="12"/>
      <c r="F309" s="12"/>
      <c r="G309" s="12"/>
      <c r="H309" s="307"/>
      <c r="I309" s="307"/>
    </row>
    <row r="310" spans="1:9" s="13" customFormat="1" ht="18.75">
      <c r="A310" s="53"/>
      <c r="E310" s="12"/>
      <c r="F310" s="12"/>
      <c r="G310" s="12"/>
      <c r="H310" s="307"/>
      <c r="I310" s="307"/>
    </row>
    <row r="311" spans="1:9" s="13" customFormat="1" ht="18.75">
      <c r="A311" s="53"/>
      <c r="E311" s="12"/>
      <c r="F311" s="12"/>
      <c r="G311" s="12"/>
      <c r="H311" s="307"/>
      <c r="I311" s="307"/>
    </row>
    <row r="312" spans="1:9" s="13" customFormat="1" ht="18.75">
      <c r="A312" s="53"/>
      <c r="E312" s="12"/>
      <c r="F312" s="12"/>
      <c r="G312" s="12"/>
      <c r="H312" s="307"/>
      <c r="I312" s="307"/>
    </row>
    <row r="313" spans="1:9" s="13" customFormat="1" ht="18.75">
      <c r="A313" s="53"/>
      <c r="E313" s="12"/>
      <c r="F313" s="12"/>
      <c r="G313" s="12"/>
      <c r="H313" s="307"/>
      <c r="I313" s="307"/>
    </row>
    <row r="314" spans="1:9" s="13" customFormat="1" ht="18.75">
      <c r="A314" s="53"/>
      <c r="E314" s="12"/>
      <c r="F314" s="12"/>
      <c r="G314" s="12"/>
      <c r="H314" s="307"/>
      <c r="I314" s="307"/>
    </row>
    <row r="315" spans="1:9" s="13" customFormat="1" ht="18.75">
      <c r="A315" s="53"/>
      <c r="E315" s="12"/>
      <c r="F315" s="12"/>
      <c r="G315" s="12"/>
      <c r="H315" s="307"/>
      <c r="I315" s="307"/>
    </row>
    <row r="316" spans="1:9" s="13" customFormat="1" ht="18.75">
      <c r="A316" s="53"/>
      <c r="E316" s="12"/>
      <c r="F316" s="12"/>
      <c r="G316" s="12"/>
      <c r="H316" s="307"/>
      <c r="I316" s="307"/>
    </row>
    <row r="317" spans="1:9" s="13" customFormat="1" ht="18.75">
      <c r="A317" s="53"/>
      <c r="E317" s="12"/>
      <c r="F317" s="12"/>
      <c r="G317" s="12"/>
      <c r="H317" s="307"/>
      <c r="I317" s="307"/>
    </row>
    <row r="318" spans="1:9" s="13" customFormat="1" ht="18.75">
      <c r="A318" s="53"/>
      <c r="E318" s="12"/>
      <c r="F318" s="12"/>
      <c r="G318" s="12"/>
      <c r="H318" s="307"/>
      <c r="I318" s="307"/>
    </row>
    <row r="319" spans="1:9" s="13" customFormat="1" ht="18.75">
      <c r="A319" s="53"/>
      <c r="E319" s="12"/>
      <c r="F319" s="12"/>
      <c r="G319" s="12"/>
      <c r="H319" s="307"/>
      <c r="I319" s="307"/>
    </row>
  </sheetData>
  <sheetProtection/>
  <mergeCells count="29">
    <mergeCell ref="B7:E7"/>
    <mergeCell ref="H7:I7"/>
    <mergeCell ref="B8:F8"/>
    <mergeCell ref="B9:E9"/>
    <mergeCell ref="B10:E10"/>
    <mergeCell ref="B11:E11"/>
    <mergeCell ref="B12:E12"/>
    <mergeCell ref="B13:E13"/>
    <mergeCell ref="B14:E14"/>
    <mergeCell ref="F14:H14"/>
    <mergeCell ref="B15:E15"/>
    <mergeCell ref="F15:H15"/>
    <mergeCell ref="F25:I25"/>
    <mergeCell ref="B16:E16"/>
    <mergeCell ref="B17:I17"/>
    <mergeCell ref="B18:E18"/>
    <mergeCell ref="B19:E19"/>
    <mergeCell ref="A21:I21"/>
    <mergeCell ref="A22:I22"/>
    <mergeCell ref="J25:J26"/>
    <mergeCell ref="C110:E110"/>
    <mergeCell ref="G110:I110"/>
    <mergeCell ref="C111:E111"/>
    <mergeCell ref="G111:I111"/>
    <mergeCell ref="A23:I23"/>
    <mergeCell ref="A25:A26"/>
    <mergeCell ref="B25:B26"/>
    <mergeCell ref="C25:D25"/>
    <mergeCell ref="E25:E2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L245"/>
  <sheetViews>
    <sheetView zoomScale="80" zoomScaleNormal="80" zoomScalePageLayoutView="0" workbookViewId="0" topLeftCell="A1">
      <pane xSplit="3" ySplit="1" topLeftCell="H158" activePane="bottomRight" state="frozen"/>
      <selection pane="topLeft" activeCell="A1" sqref="A1"/>
      <selection pane="topRight" activeCell="H1" sqref="H1"/>
      <selection pane="bottomLeft" activeCell="A2" sqref="A2"/>
      <selection pane="bottomRight" activeCell="N153" sqref="N153"/>
    </sheetView>
  </sheetViews>
  <sheetFormatPr defaultColWidth="9.140625" defaultRowHeight="16.5" customHeight="1"/>
  <cols>
    <col min="1" max="1" width="84.57421875" style="144" customWidth="1"/>
    <col min="2" max="2" width="13.7109375" style="144" bestFit="1" customWidth="1"/>
    <col min="3" max="3" width="13.7109375" style="9" customWidth="1"/>
    <col min="4" max="4" width="17.140625" style="9" hidden="1" customWidth="1"/>
    <col min="5" max="5" width="13.7109375" style="9" hidden="1" customWidth="1"/>
    <col min="6" max="6" width="20.28125" style="175" bestFit="1" customWidth="1"/>
    <col min="7" max="7" width="27.00390625" style="259" customWidth="1"/>
    <col min="8" max="8" width="17.8515625" style="259" bestFit="1" customWidth="1"/>
    <col min="9" max="9" width="27.8515625" style="259" customWidth="1"/>
    <col min="10" max="10" width="26.8515625" style="259" customWidth="1"/>
    <col min="11" max="11" width="15.8515625" style="259" bestFit="1" customWidth="1"/>
    <col min="12" max="13" width="20.28125" style="259" customWidth="1"/>
    <col min="14" max="14" width="18.8515625" style="259" bestFit="1" customWidth="1"/>
    <col min="15" max="15" width="19.7109375" style="259" customWidth="1"/>
    <col min="16" max="16" width="19.57421875" style="9" customWidth="1"/>
    <col min="17" max="17" width="18.421875" style="9" customWidth="1"/>
    <col min="18" max="20" width="17.421875" style="9" bestFit="1" customWidth="1"/>
    <col min="21" max="21" width="17.421875" style="62" bestFit="1" customWidth="1"/>
    <col min="22" max="24" width="17.421875" style="9" bestFit="1" customWidth="1"/>
    <col min="25" max="25" width="17.421875" style="62" bestFit="1" customWidth="1"/>
    <col min="26" max="28" width="17.421875" style="9" bestFit="1" customWidth="1"/>
    <col min="29" max="29" width="17.421875" style="62" bestFit="1" customWidth="1"/>
    <col min="30" max="32" width="17.421875" style="9" bestFit="1" customWidth="1"/>
    <col min="33" max="33" width="17.421875" style="62" bestFit="1" customWidth="1"/>
    <col min="34" max="34" width="18.8515625" style="9" bestFit="1" customWidth="1"/>
    <col min="35" max="35" width="35.140625" style="141" bestFit="1" customWidth="1"/>
    <col min="36" max="36" width="27.140625" style="9" bestFit="1" customWidth="1"/>
    <col min="37" max="37" width="9.140625" style="9" customWidth="1"/>
    <col min="38" max="38" width="17.140625" style="9" bestFit="1" customWidth="1"/>
    <col min="39" max="16384" width="9.140625" style="9" customWidth="1"/>
  </cols>
  <sheetData>
    <row r="1" spans="1:34" s="141" customFormat="1" ht="26.25" thickBot="1">
      <c r="A1" s="136" t="s">
        <v>1</v>
      </c>
      <c r="B1" s="140" t="s">
        <v>341</v>
      </c>
      <c r="C1" s="139" t="s">
        <v>343</v>
      </c>
      <c r="D1" s="138" t="s">
        <v>390</v>
      </c>
      <c r="E1" s="138" t="s">
        <v>58</v>
      </c>
      <c r="F1" s="138" t="s">
        <v>389</v>
      </c>
      <c r="G1" s="256" t="s">
        <v>494</v>
      </c>
      <c r="H1" s="256" t="s">
        <v>495</v>
      </c>
      <c r="I1" s="256" t="s">
        <v>778</v>
      </c>
      <c r="J1" s="256" t="s">
        <v>496</v>
      </c>
      <c r="K1" s="256" t="s">
        <v>497</v>
      </c>
      <c r="L1" s="256" t="s">
        <v>498</v>
      </c>
      <c r="M1" s="256" t="s">
        <v>500</v>
      </c>
      <c r="N1" s="256" t="s">
        <v>499</v>
      </c>
      <c r="O1" s="256" t="s">
        <v>502</v>
      </c>
      <c r="R1" s="209" t="s">
        <v>447</v>
      </c>
      <c r="S1" s="209" t="s">
        <v>448</v>
      </c>
      <c r="T1" s="209" t="s">
        <v>449</v>
      </c>
      <c r="U1" s="211" t="s">
        <v>461</v>
      </c>
      <c r="V1" s="209" t="s">
        <v>450</v>
      </c>
      <c r="W1" s="209" t="s">
        <v>451</v>
      </c>
      <c r="X1" s="209" t="s">
        <v>452</v>
      </c>
      <c r="Y1" s="211" t="s">
        <v>462</v>
      </c>
      <c r="Z1" s="209" t="s">
        <v>453</v>
      </c>
      <c r="AA1" s="209" t="s">
        <v>454</v>
      </c>
      <c r="AB1" s="209" t="s">
        <v>455</v>
      </c>
      <c r="AC1" s="211" t="s">
        <v>463</v>
      </c>
      <c r="AD1" s="209" t="s">
        <v>456</v>
      </c>
      <c r="AE1" s="209" t="s">
        <v>457</v>
      </c>
      <c r="AF1" s="209" t="s">
        <v>458</v>
      </c>
      <c r="AG1" s="211" t="s">
        <v>464</v>
      </c>
      <c r="AH1" s="209" t="s">
        <v>465</v>
      </c>
    </row>
    <row r="2" spans="1:35" ht="16.5" customHeight="1">
      <c r="A2" s="218" t="s">
        <v>182</v>
      </c>
      <c r="B2" s="405" t="s">
        <v>215</v>
      </c>
      <c r="C2" s="8" t="s">
        <v>31</v>
      </c>
      <c r="D2" s="167">
        <v>3.263472</v>
      </c>
      <c r="E2" s="9">
        <v>138741.806272</v>
      </c>
      <c r="F2" s="177">
        <f aca="true" t="shared" si="0" ref="F2:F9">D2*E2</f>
        <v>452779.9999980964</v>
      </c>
      <c r="G2" s="257" t="s">
        <v>501</v>
      </c>
      <c r="H2" s="257">
        <f aca="true" t="shared" si="1" ref="H2:H7">F2</f>
        <v>452779.9999980964</v>
      </c>
      <c r="I2" s="257"/>
      <c r="J2" s="257" t="s">
        <v>503</v>
      </c>
      <c r="K2" s="257">
        <v>369780</v>
      </c>
      <c r="L2" s="282"/>
      <c r="M2" s="257"/>
      <c r="N2" s="257">
        <f aca="true" t="shared" si="2" ref="N2:N7">H2+M2</f>
        <v>452779.9999980964</v>
      </c>
      <c r="O2" s="257">
        <f aca="true" t="shared" si="3" ref="O2:O7">N2-K2</f>
        <v>82999.99999809638</v>
      </c>
      <c r="Q2" s="208"/>
      <c r="R2" s="210">
        <v>100720</v>
      </c>
      <c r="S2" s="210">
        <v>80000</v>
      </c>
      <c r="T2" s="210">
        <v>75000</v>
      </c>
      <c r="U2" s="212">
        <f aca="true" t="shared" si="4" ref="U2:U12">SUM(R2:T2)</f>
        <v>255720</v>
      </c>
      <c r="V2" s="210">
        <v>80000</v>
      </c>
      <c r="W2" s="210">
        <v>15000</v>
      </c>
      <c r="X2" s="210">
        <v>3000</v>
      </c>
      <c r="Y2" s="212">
        <f aca="true" t="shared" si="5" ref="Y2:Y12">SUM(V2:X2)</f>
        <v>98000</v>
      </c>
      <c r="Z2" s="210">
        <v>3000</v>
      </c>
      <c r="AA2" s="210">
        <v>3000</v>
      </c>
      <c r="AB2" s="210">
        <v>3000</v>
      </c>
      <c r="AC2" s="212">
        <f aca="true" t="shared" si="6" ref="AC2:AC12">SUM(Z2:AB2)</f>
        <v>9000</v>
      </c>
      <c r="AD2" s="210">
        <v>20000</v>
      </c>
      <c r="AE2" s="210">
        <v>30000</v>
      </c>
      <c r="AF2" s="210">
        <v>40060</v>
      </c>
      <c r="AG2" s="212">
        <f aca="true" t="shared" si="7" ref="AG2:AG12">SUM(AD2:AF2)</f>
        <v>90060</v>
      </c>
      <c r="AH2" s="210">
        <f aca="true" t="shared" si="8" ref="AH2:AH12">U2+Y2+AC2+AG2</f>
        <v>452780</v>
      </c>
      <c r="AI2" s="148" t="s">
        <v>325</v>
      </c>
    </row>
    <row r="3" spans="1:35" ht="16.5" customHeight="1">
      <c r="A3" s="218" t="s">
        <v>56</v>
      </c>
      <c r="B3" s="406"/>
      <c r="C3" s="8" t="s">
        <v>57</v>
      </c>
      <c r="D3" s="168">
        <v>8.1886284</v>
      </c>
      <c r="E3" s="9">
        <v>3261.7053983</v>
      </c>
      <c r="F3" s="177">
        <f>D3*E3</f>
        <v>26708.893456952694</v>
      </c>
      <c r="G3" s="257" t="str">
        <f>Лист1!B2</f>
        <v>UA-P-2020-01-31-016161-a</v>
      </c>
      <c r="H3" s="257">
        <f t="shared" si="1"/>
        <v>26708.893456952694</v>
      </c>
      <c r="I3" s="257"/>
      <c r="J3" s="257"/>
      <c r="K3" s="257">
        <f>H3</f>
        <v>26708.893456952694</v>
      </c>
      <c r="L3" s="282"/>
      <c r="M3" s="257"/>
      <c r="N3" s="257">
        <f t="shared" si="2"/>
        <v>26708.893456952694</v>
      </c>
      <c r="O3" s="257">
        <f t="shared" si="3"/>
        <v>0</v>
      </c>
      <c r="Q3" s="208"/>
      <c r="R3" s="210">
        <v>0</v>
      </c>
      <c r="S3" s="210">
        <v>8148.48</v>
      </c>
      <c r="T3" s="210">
        <v>3802.62</v>
      </c>
      <c r="U3" s="212">
        <f t="shared" si="4"/>
        <v>11951.099999999999</v>
      </c>
      <c r="V3" s="210">
        <v>0</v>
      </c>
      <c r="W3" s="210">
        <v>0</v>
      </c>
      <c r="X3" s="210">
        <v>0</v>
      </c>
      <c r="Y3" s="212">
        <f t="shared" si="5"/>
        <v>0</v>
      </c>
      <c r="Z3" s="210">
        <v>0</v>
      </c>
      <c r="AA3" s="210">
        <v>0</v>
      </c>
      <c r="AB3" s="210">
        <v>0</v>
      </c>
      <c r="AC3" s="212">
        <f t="shared" si="6"/>
        <v>0</v>
      </c>
      <c r="AD3" s="210">
        <v>1991.85</v>
      </c>
      <c r="AE3" s="210">
        <v>5613.39</v>
      </c>
      <c r="AF3" s="210">
        <v>7152.55</v>
      </c>
      <c r="AG3" s="212">
        <f t="shared" si="7"/>
        <v>14757.79</v>
      </c>
      <c r="AH3" s="210">
        <f t="shared" si="8"/>
        <v>26708.89</v>
      </c>
      <c r="AI3" s="148" t="s">
        <v>0</v>
      </c>
    </row>
    <row r="4" spans="1:35" ht="16.5" customHeight="1">
      <c r="A4" s="218" t="s">
        <v>54</v>
      </c>
      <c r="B4" s="406"/>
      <c r="C4" s="8" t="s">
        <v>55</v>
      </c>
      <c r="D4" s="166">
        <v>0.85572</v>
      </c>
      <c r="E4" s="9">
        <v>3261.7053983</v>
      </c>
      <c r="F4" s="177">
        <f t="shared" si="0"/>
        <v>2791.1065434332763</v>
      </c>
      <c r="G4" s="257" t="str">
        <f>Лист1!B68</f>
        <v>UA-P-2020-01-31-016205-a</v>
      </c>
      <c r="H4" s="257">
        <f t="shared" si="1"/>
        <v>2791.1065434332763</v>
      </c>
      <c r="I4" s="257"/>
      <c r="J4" s="257"/>
      <c r="K4" s="257">
        <f>H4</f>
        <v>2791.1065434332763</v>
      </c>
      <c r="L4" s="282"/>
      <c r="M4" s="257"/>
      <c r="N4" s="257">
        <f t="shared" si="2"/>
        <v>2791.1065434332763</v>
      </c>
      <c r="O4" s="257">
        <f t="shared" si="3"/>
        <v>0</v>
      </c>
      <c r="Q4" s="220"/>
      <c r="R4" s="210">
        <v>0</v>
      </c>
      <c r="S4" s="210">
        <v>851.52</v>
      </c>
      <c r="T4" s="210">
        <v>397.38</v>
      </c>
      <c r="U4" s="212">
        <f t="shared" si="4"/>
        <v>1248.9</v>
      </c>
      <c r="V4" s="210">
        <v>0</v>
      </c>
      <c r="W4" s="210">
        <v>0</v>
      </c>
      <c r="X4" s="210">
        <v>0</v>
      </c>
      <c r="Y4" s="212">
        <f t="shared" si="5"/>
        <v>0</v>
      </c>
      <c r="Z4" s="210">
        <v>0</v>
      </c>
      <c r="AA4" s="210">
        <v>0</v>
      </c>
      <c r="AB4" s="210">
        <v>0</v>
      </c>
      <c r="AC4" s="212">
        <f t="shared" si="6"/>
        <v>0</v>
      </c>
      <c r="AD4" s="210">
        <v>208.15</v>
      </c>
      <c r="AE4" s="210">
        <v>586.61</v>
      </c>
      <c r="AF4" s="210">
        <v>747.45</v>
      </c>
      <c r="AG4" s="212">
        <f t="shared" si="7"/>
        <v>1542.21</v>
      </c>
      <c r="AH4" s="210">
        <f t="shared" si="8"/>
        <v>2791.11</v>
      </c>
      <c r="AI4" s="148" t="s">
        <v>0</v>
      </c>
    </row>
    <row r="5" spans="1:35" ht="16.5" customHeight="1">
      <c r="A5" s="218" t="s">
        <v>33</v>
      </c>
      <c r="B5" s="406"/>
      <c r="C5" s="8" t="s">
        <v>32</v>
      </c>
      <c r="D5" s="165">
        <v>2448.65</v>
      </c>
      <c r="E5" s="9">
        <v>80</v>
      </c>
      <c r="F5" s="177">
        <f>D5*E5</f>
        <v>195892</v>
      </c>
      <c r="G5" s="257" t="s">
        <v>775</v>
      </c>
      <c r="H5" s="257">
        <f t="shared" si="1"/>
        <v>195892</v>
      </c>
      <c r="I5" s="257"/>
      <c r="J5" s="257" t="s">
        <v>776</v>
      </c>
      <c r="K5" s="257">
        <f>H5</f>
        <v>195892</v>
      </c>
      <c r="L5" s="282"/>
      <c r="M5" s="257"/>
      <c r="N5" s="257">
        <f t="shared" si="2"/>
        <v>195892</v>
      </c>
      <c r="O5" s="257">
        <f t="shared" si="3"/>
        <v>0</v>
      </c>
      <c r="Q5" s="208"/>
      <c r="R5" s="210">
        <v>7350</v>
      </c>
      <c r="S5" s="210">
        <v>36730</v>
      </c>
      <c r="T5" s="210">
        <v>36730</v>
      </c>
      <c r="U5" s="212">
        <f t="shared" si="4"/>
        <v>80810</v>
      </c>
      <c r="V5" s="210">
        <v>29400</v>
      </c>
      <c r="W5" s="210">
        <v>0</v>
      </c>
      <c r="X5" s="210">
        <v>0</v>
      </c>
      <c r="Y5" s="212">
        <f t="shared" si="5"/>
        <v>29400</v>
      </c>
      <c r="Z5" s="210">
        <v>0</v>
      </c>
      <c r="AA5" s="210">
        <v>0</v>
      </c>
      <c r="AB5" s="210">
        <v>0</v>
      </c>
      <c r="AC5" s="212">
        <f t="shared" si="6"/>
        <v>0</v>
      </c>
      <c r="AD5" s="210">
        <v>4900</v>
      </c>
      <c r="AE5" s="210">
        <v>41630</v>
      </c>
      <c r="AF5" s="210">
        <v>39152</v>
      </c>
      <c r="AG5" s="212">
        <f t="shared" si="7"/>
        <v>85682</v>
      </c>
      <c r="AH5" s="210">
        <f t="shared" si="8"/>
        <v>195892</v>
      </c>
      <c r="AI5" s="148" t="s">
        <v>326</v>
      </c>
    </row>
    <row r="6" spans="1:35" ht="16.5" customHeight="1">
      <c r="A6" s="218" t="s">
        <v>35</v>
      </c>
      <c r="B6" s="406"/>
      <c r="C6" s="8" t="s">
        <v>34</v>
      </c>
      <c r="D6" s="165">
        <v>9.72</v>
      </c>
      <c r="E6" s="9">
        <v>850</v>
      </c>
      <c r="F6" s="177">
        <f t="shared" si="0"/>
        <v>8262</v>
      </c>
      <c r="G6" s="257" t="str">
        <f>Лист1!B56</f>
        <v>UA-P-2020-01-31-016198-a</v>
      </c>
      <c r="H6" s="257">
        <f t="shared" si="1"/>
        <v>8262</v>
      </c>
      <c r="I6" s="257"/>
      <c r="J6" s="257"/>
      <c r="K6" s="257">
        <f>H6</f>
        <v>8262</v>
      </c>
      <c r="L6" s="282"/>
      <c r="M6" s="257"/>
      <c r="N6" s="257">
        <f t="shared" si="2"/>
        <v>8262</v>
      </c>
      <c r="O6" s="257">
        <f t="shared" si="3"/>
        <v>0</v>
      </c>
      <c r="Q6" s="208"/>
      <c r="R6" s="210">
        <v>730.51</v>
      </c>
      <c r="S6" s="210">
        <v>681.31</v>
      </c>
      <c r="T6" s="210">
        <v>681.31</v>
      </c>
      <c r="U6" s="212">
        <f t="shared" si="4"/>
        <v>2093.13</v>
      </c>
      <c r="V6" s="210">
        <v>624.53</v>
      </c>
      <c r="W6" s="210">
        <v>719.16</v>
      </c>
      <c r="X6" s="210">
        <v>690.77</v>
      </c>
      <c r="Y6" s="212">
        <f t="shared" si="5"/>
        <v>2034.46</v>
      </c>
      <c r="Z6" s="210">
        <v>681.31</v>
      </c>
      <c r="AA6" s="210">
        <v>690.77</v>
      </c>
      <c r="AB6" s="210">
        <v>681.31</v>
      </c>
      <c r="AC6" s="212">
        <f t="shared" si="6"/>
        <v>2053.39</v>
      </c>
      <c r="AD6" s="210">
        <v>681.31</v>
      </c>
      <c r="AE6" s="210">
        <v>730.51</v>
      </c>
      <c r="AF6" s="210">
        <v>669.2</v>
      </c>
      <c r="AG6" s="212">
        <f t="shared" si="7"/>
        <v>2081.02</v>
      </c>
      <c r="AH6" s="210">
        <f t="shared" si="8"/>
        <v>8262</v>
      </c>
      <c r="AI6" s="148" t="s">
        <v>0</v>
      </c>
    </row>
    <row r="7" spans="1:35" ht="16.5" customHeight="1">
      <c r="A7" s="218" t="s">
        <v>37</v>
      </c>
      <c r="B7" s="407"/>
      <c r="C7" s="8" t="s">
        <v>36</v>
      </c>
      <c r="D7" s="165">
        <v>15.96</v>
      </c>
      <c r="E7" s="9">
        <v>850</v>
      </c>
      <c r="F7" s="177">
        <f t="shared" si="0"/>
        <v>13566</v>
      </c>
      <c r="G7" s="257" t="str">
        <f>Лист1!B47</f>
        <v>UA-P-2020-01-31-016173-a</v>
      </c>
      <c r="H7" s="257">
        <f t="shared" si="1"/>
        <v>13566</v>
      </c>
      <c r="I7" s="257"/>
      <c r="J7" s="257"/>
      <c r="K7" s="257">
        <f>H7</f>
        <v>13566</v>
      </c>
      <c r="L7" s="282"/>
      <c r="M7" s="257"/>
      <c r="N7" s="257">
        <f t="shared" si="2"/>
        <v>13566</v>
      </c>
      <c r="O7" s="257">
        <f t="shared" si="3"/>
        <v>0</v>
      </c>
      <c r="Q7" s="208"/>
      <c r="R7" s="210">
        <v>1199.49</v>
      </c>
      <c r="S7" s="210">
        <v>1118.69</v>
      </c>
      <c r="T7" s="210">
        <v>1118.69</v>
      </c>
      <c r="U7" s="212">
        <f t="shared" si="4"/>
        <v>3436.8700000000003</v>
      </c>
      <c r="V7" s="210">
        <v>1025.47</v>
      </c>
      <c r="W7" s="210">
        <v>1180.84</v>
      </c>
      <c r="X7" s="210">
        <v>1134.23</v>
      </c>
      <c r="Y7" s="212">
        <f t="shared" si="5"/>
        <v>3340.54</v>
      </c>
      <c r="Z7" s="210">
        <v>1118.69</v>
      </c>
      <c r="AA7" s="210">
        <v>1134.23</v>
      </c>
      <c r="AB7" s="210">
        <v>1118.69</v>
      </c>
      <c r="AC7" s="212">
        <f t="shared" si="6"/>
        <v>3371.61</v>
      </c>
      <c r="AD7" s="210">
        <v>1118.69</v>
      </c>
      <c r="AE7" s="210">
        <v>1199.49</v>
      </c>
      <c r="AF7" s="210">
        <v>1098.8</v>
      </c>
      <c r="AG7" s="212">
        <f t="shared" si="7"/>
        <v>3416.9800000000005</v>
      </c>
      <c r="AH7" s="210">
        <f t="shared" si="8"/>
        <v>13566</v>
      </c>
      <c r="AI7" s="148" t="s">
        <v>0</v>
      </c>
    </row>
    <row r="8" spans="1:35" s="215" customFormat="1" ht="16.5" customHeight="1">
      <c r="A8" s="213"/>
      <c r="B8" s="213"/>
      <c r="C8" s="214"/>
      <c r="F8" s="173">
        <f>SUM(F2:F7)</f>
        <v>699999.9999984824</v>
      </c>
      <c r="G8" s="258"/>
      <c r="H8" s="258"/>
      <c r="I8" s="258"/>
      <c r="J8" s="258"/>
      <c r="K8" s="258"/>
      <c r="L8" s="282"/>
      <c r="M8" s="258"/>
      <c r="N8" s="257"/>
      <c r="O8" s="257"/>
      <c r="R8" s="216">
        <f>SUM(R2:R7)</f>
        <v>110000</v>
      </c>
      <c r="S8" s="216">
        <f>SUM(S2:S7)</f>
        <v>127530</v>
      </c>
      <c r="T8" s="216">
        <f>SUM(T2:T7)</f>
        <v>117730</v>
      </c>
      <c r="U8" s="216">
        <f t="shared" si="4"/>
        <v>355260</v>
      </c>
      <c r="V8" s="216">
        <f>SUM(V2:V7)</f>
        <v>111050</v>
      </c>
      <c r="W8" s="216">
        <f>SUM(W2:W7)</f>
        <v>16900</v>
      </c>
      <c r="X8" s="216">
        <f>SUM(X2:X7)</f>
        <v>4825</v>
      </c>
      <c r="Y8" s="216">
        <f t="shared" si="5"/>
        <v>132775</v>
      </c>
      <c r="Z8" s="216">
        <f>SUM(Z2:Z7)</f>
        <v>4800</v>
      </c>
      <c r="AA8" s="216">
        <f>SUM(AA2:AA7)</f>
        <v>4825</v>
      </c>
      <c r="AB8" s="216">
        <f>SUM(AB2:AB7)</f>
        <v>4800</v>
      </c>
      <c r="AC8" s="216">
        <f t="shared" si="6"/>
        <v>14425</v>
      </c>
      <c r="AD8" s="216">
        <f>SUM(AD2:AD7)</f>
        <v>28900</v>
      </c>
      <c r="AE8" s="216">
        <f>SUM(AE2:AE7)</f>
        <v>79760</v>
      </c>
      <c r="AF8" s="216">
        <f>SUM(AF2:AF7)</f>
        <v>88880</v>
      </c>
      <c r="AG8" s="216">
        <f t="shared" si="7"/>
        <v>197540</v>
      </c>
      <c r="AH8" s="216">
        <f t="shared" si="8"/>
        <v>700000</v>
      </c>
      <c r="AI8" s="217"/>
    </row>
    <row r="9" spans="1:35" ht="16.5" customHeight="1">
      <c r="A9" s="218" t="s">
        <v>286</v>
      </c>
      <c r="B9" s="408" t="s">
        <v>191</v>
      </c>
      <c r="C9" s="8" t="s">
        <v>285</v>
      </c>
      <c r="D9" s="9">
        <v>26.38</v>
      </c>
      <c r="E9" s="165">
        <v>13200</v>
      </c>
      <c r="F9" s="177">
        <f t="shared" si="0"/>
        <v>348216</v>
      </c>
      <c r="G9" s="257" t="str">
        <f>Лист1!B3</f>
        <v>UA-P-2020-01-10-000876-b</v>
      </c>
      <c r="H9" s="257">
        <f>F9</f>
        <v>348216</v>
      </c>
      <c r="I9" s="257"/>
      <c r="J9" s="257" t="str">
        <f>Лист1!D3</f>
        <v>UA-2020-01-10-000697-c</v>
      </c>
      <c r="K9" s="257">
        <v>280368</v>
      </c>
      <c r="L9" s="282"/>
      <c r="M9" s="257"/>
      <c r="N9" s="257">
        <f>H9+M9</f>
        <v>348216</v>
      </c>
      <c r="O9" s="257">
        <f>N9-K9</f>
        <v>67848</v>
      </c>
      <c r="Q9" s="208"/>
      <c r="R9" s="210">
        <v>0</v>
      </c>
      <c r="S9" s="210">
        <v>31656</v>
      </c>
      <c r="T9" s="210">
        <v>26344</v>
      </c>
      <c r="U9" s="212">
        <f t="shared" si="4"/>
        <v>58000</v>
      </c>
      <c r="V9" s="210">
        <v>32300</v>
      </c>
      <c r="W9" s="210">
        <v>32300</v>
      </c>
      <c r="X9" s="210">
        <v>32230</v>
      </c>
      <c r="Y9" s="212">
        <f t="shared" si="5"/>
        <v>96830</v>
      </c>
      <c r="Z9" s="210">
        <v>32000</v>
      </c>
      <c r="AA9" s="210">
        <v>32000</v>
      </c>
      <c r="AB9" s="210">
        <v>32556</v>
      </c>
      <c r="AC9" s="212">
        <f t="shared" si="6"/>
        <v>96556</v>
      </c>
      <c r="AD9" s="210">
        <v>32230</v>
      </c>
      <c r="AE9" s="210">
        <v>32300</v>
      </c>
      <c r="AF9" s="210">
        <v>32300</v>
      </c>
      <c r="AG9" s="212">
        <f t="shared" si="7"/>
        <v>96830</v>
      </c>
      <c r="AH9" s="210">
        <f t="shared" si="8"/>
        <v>348216</v>
      </c>
      <c r="AI9" s="148" t="s">
        <v>327</v>
      </c>
    </row>
    <row r="10" spans="1:35" ht="16.5" customHeight="1">
      <c r="A10" s="218" t="s">
        <v>189</v>
      </c>
      <c r="B10" s="407"/>
      <c r="C10" s="8" t="s">
        <v>9</v>
      </c>
      <c r="F10" s="177">
        <v>11784</v>
      </c>
      <c r="G10" s="257" t="str">
        <f>Лист1!B4</f>
        <v>UA-P-2020-01-31-016216-a</v>
      </c>
      <c r="H10" s="257">
        <f>F10</f>
        <v>11784</v>
      </c>
      <c r="I10" s="257"/>
      <c r="J10" s="257"/>
      <c r="K10" s="257"/>
      <c r="L10" s="282"/>
      <c r="M10" s="257"/>
      <c r="N10" s="257">
        <f>H10+M10</f>
        <v>11784</v>
      </c>
      <c r="O10" s="257">
        <f>N10-K10</f>
        <v>11784</v>
      </c>
      <c r="Q10" s="208"/>
      <c r="R10" s="210">
        <v>0</v>
      </c>
      <c r="S10" s="210">
        <v>1000</v>
      </c>
      <c r="T10" s="210">
        <v>1000</v>
      </c>
      <c r="U10" s="212">
        <f t="shared" si="4"/>
        <v>2000</v>
      </c>
      <c r="V10" s="210">
        <v>1070</v>
      </c>
      <c r="W10" s="210">
        <v>1000</v>
      </c>
      <c r="X10" s="210">
        <v>1100</v>
      </c>
      <c r="Y10" s="212">
        <f t="shared" si="5"/>
        <v>3170</v>
      </c>
      <c r="Z10" s="210">
        <v>1070</v>
      </c>
      <c r="AA10" s="210">
        <v>1274</v>
      </c>
      <c r="AB10" s="210">
        <v>1100</v>
      </c>
      <c r="AC10" s="212">
        <f t="shared" si="6"/>
        <v>3444</v>
      </c>
      <c r="AD10" s="210">
        <v>1070</v>
      </c>
      <c r="AE10" s="210">
        <v>1000</v>
      </c>
      <c r="AF10" s="210">
        <v>1100</v>
      </c>
      <c r="AG10" s="212">
        <f t="shared" si="7"/>
        <v>3170</v>
      </c>
      <c r="AH10" s="210">
        <f t="shared" si="8"/>
        <v>11784</v>
      </c>
      <c r="AI10" s="148" t="s">
        <v>0</v>
      </c>
    </row>
    <row r="11" spans="1:35" s="215" customFormat="1" ht="16.5" customHeight="1">
      <c r="A11" s="213"/>
      <c r="B11" s="213"/>
      <c r="C11" s="214"/>
      <c r="F11" s="173">
        <f>SUM(F9:F10)</f>
        <v>360000</v>
      </c>
      <c r="G11" s="258"/>
      <c r="H11" s="258"/>
      <c r="I11" s="258"/>
      <c r="J11" s="258"/>
      <c r="K11" s="258"/>
      <c r="L11" s="282"/>
      <c r="M11" s="258"/>
      <c r="N11" s="258"/>
      <c r="O11" s="257"/>
      <c r="R11" s="216">
        <f>SUM(R9:R10)</f>
        <v>0</v>
      </c>
      <c r="S11" s="216">
        <f>SUM(S9:S10)</f>
        <v>32656</v>
      </c>
      <c r="T11" s="216">
        <f>SUM(T9:T10)</f>
        <v>27344</v>
      </c>
      <c r="U11" s="216">
        <f t="shared" si="4"/>
        <v>60000</v>
      </c>
      <c r="V11" s="216">
        <f>SUM(V9:V10)</f>
        <v>33370</v>
      </c>
      <c r="W11" s="216">
        <f>SUM(W9:W10)</f>
        <v>33300</v>
      </c>
      <c r="X11" s="216">
        <f>SUM(X9:X10)</f>
        <v>33330</v>
      </c>
      <c r="Y11" s="216">
        <f t="shared" si="5"/>
        <v>100000</v>
      </c>
      <c r="Z11" s="216">
        <f>SUM(Z9:Z10)</f>
        <v>33070</v>
      </c>
      <c r="AA11" s="216">
        <f>SUM(AA9:AA10)</f>
        <v>33274</v>
      </c>
      <c r="AB11" s="216">
        <f>SUM(AB9:AB10)</f>
        <v>33656</v>
      </c>
      <c r="AC11" s="216">
        <f t="shared" si="6"/>
        <v>100000</v>
      </c>
      <c r="AD11" s="216">
        <f>SUM(AD9:AD10)</f>
        <v>33300</v>
      </c>
      <c r="AE11" s="216">
        <f>SUM(AE9:AE10)</f>
        <v>33300</v>
      </c>
      <c r="AF11" s="216">
        <f>SUM(AF9:AF10)</f>
        <v>33400</v>
      </c>
      <c r="AG11" s="216">
        <f t="shared" si="7"/>
        <v>100000</v>
      </c>
      <c r="AH11" s="216">
        <f t="shared" si="8"/>
        <v>360000</v>
      </c>
      <c r="AI11" s="217"/>
    </row>
    <row r="12" spans="1:35" ht="16.5" customHeight="1">
      <c r="A12" s="218" t="s">
        <v>222</v>
      </c>
      <c r="B12" s="8">
        <v>300</v>
      </c>
      <c r="C12" s="8" t="s">
        <v>221</v>
      </c>
      <c r="F12" s="177">
        <v>15000</v>
      </c>
      <c r="G12" s="257" t="str">
        <f>Лист1!B12</f>
        <v>UA-P-2020-01-31-016182-a</v>
      </c>
      <c r="H12" s="257">
        <f>F12</f>
        <v>15000</v>
      </c>
      <c r="I12" s="257"/>
      <c r="J12" s="257"/>
      <c r="K12" s="257"/>
      <c r="L12" s="282">
        <v>43986</v>
      </c>
      <c r="M12" s="257">
        <v>-664</v>
      </c>
      <c r="N12" s="257">
        <f>H12+M12</f>
        <v>14336</v>
      </c>
      <c r="O12" s="257">
        <f>N12-K12</f>
        <v>14336</v>
      </c>
      <c r="Q12" s="208"/>
      <c r="R12" s="210">
        <v>0</v>
      </c>
      <c r="S12" s="210">
        <v>0</v>
      </c>
      <c r="T12" s="210">
        <v>0</v>
      </c>
      <c r="U12" s="212">
        <f t="shared" si="4"/>
        <v>0</v>
      </c>
      <c r="V12" s="210">
        <v>0</v>
      </c>
      <c r="W12" s="210">
        <v>0</v>
      </c>
      <c r="X12" s="210">
        <v>0</v>
      </c>
      <c r="Y12" s="212">
        <f t="shared" si="5"/>
        <v>0</v>
      </c>
      <c r="Z12" s="210">
        <v>0</v>
      </c>
      <c r="AA12" s="210">
        <v>0</v>
      </c>
      <c r="AB12" s="210">
        <v>0</v>
      </c>
      <c r="AC12" s="212">
        <f t="shared" si="6"/>
        <v>0</v>
      </c>
      <c r="AD12" s="210">
        <v>0</v>
      </c>
      <c r="AE12" s="210">
        <v>0</v>
      </c>
      <c r="AF12" s="210">
        <v>15000</v>
      </c>
      <c r="AG12" s="212">
        <f t="shared" si="7"/>
        <v>15000</v>
      </c>
      <c r="AH12" s="210">
        <f t="shared" si="8"/>
        <v>15000</v>
      </c>
      <c r="AI12" s="148" t="s">
        <v>0</v>
      </c>
    </row>
    <row r="13" spans="1:35" s="215" customFormat="1" ht="16.5" customHeight="1">
      <c r="A13" s="213"/>
      <c r="B13" s="213"/>
      <c r="C13" s="214"/>
      <c r="F13" s="173">
        <f>SUM(F12)</f>
        <v>15000</v>
      </c>
      <c r="G13" s="258"/>
      <c r="H13" s="258"/>
      <c r="I13" s="258"/>
      <c r="J13" s="258"/>
      <c r="K13" s="258"/>
      <c r="L13" s="282"/>
      <c r="M13" s="258"/>
      <c r="N13" s="257"/>
      <c r="O13" s="257"/>
      <c r="R13" s="216">
        <f aca="true" t="shared" si="9" ref="R13:X13">SUM(R12)</f>
        <v>0</v>
      </c>
      <c r="S13" s="216">
        <f t="shared" si="9"/>
        <v>0</v>
      </c>
      <c r="T13" s="216">
        <f t="shared" si="9"/>
        <v>0</v>
      </c>
      <c r="U13" s="216">
        <f t="shared" si="9"/>
        <v>0</v>
      </c>
      <c r="V13" s="216">
        <f t="shared" si="9"/>
        <v>0</v>
      </c>
      <c r="W13" s="216">
        <f t="shared" si="9"/>
        <v>0</v>
      </c>
      <c r="X13" s="216">
        <f t="shared" si="9"/>
        <v>0</v>
      </c>
      <c r="Y13" s="216"/>
      <c r="Z13" s="216">
        <f>SUM(Z12)</f>
        <v>0</v>
      </c>
      <c r="AA13" s="216">
        <f>SUM(AA12)</f>
        <v>0</v>
      </c>
      <c r="AB13" s="216">
        <f>SUM(AB12)</f>
        <v>0</v>
      </c>
      <c r="AC13" s="216"/>
      <c r="AD13" s="216">
        <f>SUM(AD12)</f>
        <v>0</v>
      </c>
      <c r="AE13" s="216">
        <f>SUM(AE12)</f>
        <v>0</v>
      </c>
      <c r="AF13" s="216">
        <f>SUM(AF12)</f>
        <v>15000</v>
      </c>
      <c r="AG13" s="216"/>
      <c r="AH13" s="216"/>
      <c r="AI13" s="217"/>
    </row>
    <row r="14" spans="1:35" ht="16.5" customHeight="1">
      <c r="A14" s="218" t="s">
        <v>41</v>
      </c>
      <c r="B14" s="237"/>
      <c r="C14" s="8" t="s">
        <v>12</v>
      </c>
      <c r="F14" s="177">
        <v>10000</v>
      </c>
      <c r="G14" s="257" t="str">
        <f>Лист1!B10</f>
        <v>UA-P-2020-01-31-016207-a</v>
      </c>
      <c r="H14" s="257">
        <f>F14</f>
        <v>10000</v>
      </c>
      <c r="I14" s="257"/>
      <c r="J14" s="257"/>
      <c r="K14" s="257"/>
      <c r="L14" s="282"/>
      <c r="M14" s="257"/>
      <c r="N14" s="257">
        <f>H14+M14</f>
        <v>10000</v>
      </c>
      <c r="O14" s="257">
        <f>N14-K14</f>
        <v>10000</v>
      </c>
      <c r="Q14" s="208"/>
      <c r="R14" s="210"/>
      <c r="S14" s="210"/>
      <c r="T14" s="210"/>
      <c r="U14" s="212">
        <f>SUM(R14:T14)</f>
        <v>0</v>
      </c>
      <c r="V14" s="210">
        <v>1875</v>
      </c>
      <c r="W14" s="210">
        <v>1875</v>
      </c>
      <c r="X14" s="210">
        <f>1250+1250</f>
        <v>2500</v>
      </c>
      <c r="Y14" s="212">
        <f>SUM(V14:X14)</f>
        <v>6250</v>
      </c>
      <c r="Z14" s="210"/>
      <c r="AA14" s="210">
        <v>1250</v>
      </c>
      <c r="AB14" s="210">
        <v>1250</v>
      </c>
      <c r="AC14" s="212">
        <f>SUM(Z14:AB14)</f>
        <v>2500</v>
      </c>
      <c r="AD14" s="210">
        <v>1250</v>
      </c>
      <c r="AE14" s="210"/>
      <c r="AF14" s="210"/>
      <c r="AG14" s="212">
        <f>SUM(AD14:AF14)</f>
        <v>1250</v>
      </c>
      <c r="AH14" s="210">
        <f>U14+Y14+AC14+AG14</f>
        <v>10000</v>
      </c>
      <c r="AI14" s="148" t="s">
        <v>0</v>
      </c>
    </row>
    <row r="15" spans="1:35" ht="16.5" customHeight="1">
      <c r="A15" s="236" t="s">
        <v>479</v>
      </c>
      <c r="B15" s="198"/>
      <c r="C15" s="8" t="s">
        <v>478</v>
      </c>
      <c r="F15" s="177">
        <v>1400</v>
      </c>
      <c r="G15" s="257" t="str">
        <f>Лист1!B9</f>
        <v>UA-P-2020-01-31-016217-a</v>
      </c>
      <c r="H15" s="257">
        <f aca="true" t="shared" si="10" ref="H15:H82">F15</f>
        <v>1400</v>
      </c>
      <c r="I15" s="257"/>
      <c r="J15" s="257"/>
      <c r="K15" s="257"/>
      <c r="L15" s="282"/>
      <c r="M15" s="257"/>
      <c r="N15" s="257">
        <f>H15+M15</f>
        <v>1400</v>
      </c>
      <c r="O15" s="257">
        <f>N15-K15</f>
        <v>1400</v>
      </c>
      <c r="Q15" s="208"/>
      <c r="R15" s="210"/>
      <c r="S15" s="210">
        <v>1400</v>
      </c>
      <c r="T15" s="210"/>
      <c r="U15" s="212">
        <f>SUM(R15:T15)</f>
        <v>1400</v>
      </c>
      <c r="V15" s="210"/>
      <c r="W15" s="210"/>
      <c r="X15" s="210"/>
      <c r="Y15" s="212">
        <f>SUM(V15:X15)</f>
        <v>0</v>
      </c>
      <c r="Z15" s="210"/>
      <c r="AA15" s="210"/>
      <c r="AB15" s="210"/>
      <c r="AC15" s="212">
        <f>SUM(Z15:AB15)</f>
        <v>0</v>
      </c>
      <c r="AD15" s="210"/>
      <c r="AE15" s="210"/>
      <c r="AF15" s="210"/>
      <c r="AG15" s="212">
        <f>SUM(AD15:AF15)</f>
        <v>0</v>
      </c>
      <c r="AH15" s="210">
        <f>U15+Y15+AC15+AG15</f>
        <v>1400</v>
      </c>
      <c r="AI15" s="148"/>
    </row>
    <row r="16" spans="1:35" ht="16.5" customHeight="1">
      <c r="A16" s="476" t="s">
        <v>14</v>
      </c>
      <c r="B16" s="198"/>
      <c r="C16" s="408" t="s">
        <v>13</v>
      </c>
      <c r="F16" s="177">
        <v>2000</v>
      </c>
      <c r="G16" s="257" t="str">
        <f>Лист1!B11</f>
        <v>UA-P-2020-01-31-016201-a</v>
      </c>
      <c r="H16" s="257">
        <f t="shared" si="10"/>
        <v>2000</v>
      </c>
      <c r="I16" s="257"/>
      <c r="J16" s="257"/>
      <c r="K16" s="257">
        <v>1890</v>
      </c>
      <c r="L16" s="282">
        <v>44006</v>
      </c>
      <c r="M16" s="257">
        <v>160</v>
      </c>
      <c r="N16" s="257">
        <f>H16+M16</f>
        <v>2160</v>
      </c>
      <c r="O16" s="288">
        <f>N16-K16-K17+O17-K18-K19</f>
        <v>0</v>
      </c>
      <c r="Q16" s="208"/>
      <c r="R16" s="210"/>
      <c r="S16" s="210"/>
      <c r="T16" s="210"/>
      <c r="U16" s="212">
        <f>SUM(R16:T16)</f>
        <v>0</v>
      </c>
      <c r="V16" s="210">
        <v>1000</v>
      </c>
      <c r="W16" s="210"/>
      <c r="X16" s="210"/>
      <c r="Y16" s="212">
        <f>SUM(V16:X16)</f>
        <v>1000</v>
      </c>
      <c r="Z16" s="210"/>
      <c r="AA16" s="210">
        <v>1000</v>
      </c>
      <c r="AB16" s="210"/>
      <c r="AC16" s="212">
        <f>SUM(Z16:AB16)</f>
        <v>1000</v>
      </c>
      <c r="AD16" s="210"/>
      <c r="AE16" s="210"/>
      <c r="AF16" s="210"/>
      <c r="AG16" s="212">
        <f>SUM(AD16:AF16)</f>
        <v>0</v>
      </c>
      <c r="AH16" s="210">
        <f>U16+Y16+AC16+AG16</f>
        <v>2000</v>
      </c>
      <c r="AI16" s="148" t="s">
        <v>0</v>
      </c>
    </row>
    <row r="17" spans="1:35" ht="16.5" customHeight="1">
      <c r="A17" s="478"/>
      <c r="B17" s="198"/>
      <c r="C17" s="407"/>
      <c r="F17" s="177"/>
      <c r="G17" s="257"/>
      <c r="H17" s="257"/>
      <c r="I17" s="257" t="s">
        <v>779</v>
      </c>
      <c r="J17" s="284" t="s">
        <v>777</v>
      </c>
      <c r="K17" s="284">
        <v>110</v>
      </c>
      <c r="L17" s="282"/>
      <c r="M17" s="257"/>
      <c r="N17" s="257"/>
      <c r="O17" s="257"/>
      <c r="Q17" s="208"/>
      <c r="R17" s="210"/>
      <c r="S17" s="210"/>
      <c r="T17" s="210"/>
      <c r="U17" s="212"/>
      <c r="V17" s="210"/>
      <c r="W17" s="210"/>
      <c r="X17" s="210"/>
      <c r="Y17" s="212"/>
      <c r="Z17" s="210"/>
      <c r="AA17" s="210"/>
      <c r="AB17" s="210"/>
      <c r="AC17" s="212"/>
      <c r="AD17" s="210"/>
      <c r="AE17" s="210"/>
      <c r="AF17" s="210"/>
      <c r="AG17" s="212"/>
      <c r="AH17" s="210"/>
      <c r="AI17" s="148"/>
    </row>
    <row r="18" spans="1:35" ht="16.5" customHeight="1">
      <c r="A18" s="283"/>
      <c r="B18" s="198"/>
      <c r="C18" s="262"/>
      <c r="F18" s="287"/>
      <c r="G18" s="257"/>
      <c r="H18" s="257"/>
      <c r="I18" s="257"/>
      <c r="J18" s="257"/>
      <c r="K18" s="221">
        <v>160</v>
      </c>
      <c r="L18" s="282"/>
      <c r="M18" s="257"/>
      <c r="N18" s="257"/>
      <c r="O18" s="257"/>
      <c r="Q18" s="208"/>
      <c r="R18" s="210"/>
      <c r="S18" s="210"/>
      <c r="T18" s="210"/>
      <c r="U18" s="212"/>
      <c r="V18" s="210"/>
      <c r="W18" s="210"/>
      <c r="X18" s="210"/>
      <c r="Y18" s="212"/>
      <c r="Z18" s="210"/>
      <c r="AA18" s="210"/>
      <c r="AB18" s="210"/>
      <c r="AC18" s="212"/>
      <c r="AD18" s="210"/>
      <c r="AE18" s="210"/>
      <c r="AF18" s="210"/>
      <c r="AG18" s="212"/>
      <c r="AH18" s="210"/>
      <c r="AI18" s="148"/>
    </row>
    <row r="19" spans="1:35" ht="16.5" customHeight="1">
      <c r="A19" s="283"/>
      <c r="B19" s="198"/>
      <c r="C19" s="262"/>
      <c r="F19" s="287"/>
      <c r="G19" s="257"/>
      <c r="H19" s="257"/>
      <c r="I19" s="257"/>
      <c r="J19" s="257"/>
      <c r="K19" s="257"/>
      <c r="L19" s="282"/>
      <c r="M19" s="257"/>
      <c r="N19" s="257"/>
      <c r="O19" s="257"/>
      <c r="Q19" s="208"/>
      <c r="R19" s="210"/>
      <c r="S19" s="210"/>
      <c r="T19" s="210"/>
      <c r="U19" s="212"/>
      <c r="V19" s="210"/>
      <c r="W19" s="210"/>
      <c r="X19" s="210"/>
      <c r="Y19" s="212"/>
      <c r="Z19" s="210"/>
      <c r="AA19" s="210"/>
      <c r="AB19" s="210"/>
      <c r="AC19" s="212"/>
      <c r="AD19" s="210"/>
      <c r="AE19" s="210"/>
      <c r="AF19" s="210"/>
      <c r="AG19" s="212"/>
      <c r="AH19" s="210"/>
      <c r="AI19" s="148"/>
    </row>
    <row r="20" spans="1:35" ht="16.5" customHeight="1">
      <c r="A20" s="218" t="s">
        <v>226</v>
      </c>
      <c r="B20" s="198"/>
      <c r="C20" s="8" t="s">
        <v>223</v>
      </c>
      <c r="F20" s="177">
        <v>45000</v>
      </c>
      <c r="G20" s="257" t="str">
        <f>Лист1!B13</f>
        <v>UA-P-2020-01-31-016150-a</v>
      </c>
      <c r="H20" s="257">
        <f t="shared" si="10"/>
        <v>45000</v>
      </c>
      <c r="I20" s="257"/>
      <c r="J20" s="257"/>
      <c r="K20" s="257"/>
      <c r="L20" s="282">
        <v>43977</v>
      </c>
      <c r="M20" s="257">
        <v>-34590</v>
      </c>
      <c r="N20" s="257">
        <f>H20+M20</f>
        <v>10410</v>
      </c>
      <c r="O20" s="257">
        <f>N20-K20</f>
        <v>10410</v>
      </c>
      <c r="Q20" s="208"/>
      <c r="R20" s="210">
        <f aca="true" t="shared" si="11" ref="R20:T21">3750+2650</f>
        <v>6400</v>
      </c>
      <c r="S20" s="210">
        <v>1600</v>
      </c>
      <c r="T20" s="210">
        <v>1600</v>
      </c>
      <c r="U20" s="212">
        <f>SUM(R20:T20)</f>
        <v>9600</v>
      </c>
      <c r="V20" s="210">
        <f>3750+1600</f>
        <v>5350</v>
      </c>
      <c r="W20" s="210">
        <v>3750</v>
      </c>
      <c r="X20" s="210">
        <v>3750</v>
      </c>
      <c r="Y20" s="212">
        <f>SUM(V20:X20)</f>
        <v>12850</v>
      </c>
      <c r="Z20" s="210">
        <v>3200</v>
      </c>
      <c r="AA20" s="210">
        <v>3000</v>
      </c>
      <c r="AB20" s="210">
        <v>3100</v>
      </c>
      <c r="AC20" s="212">
        <f>SUM(Z20:AB20)</f>
        <v>9300</v>
      </c>
      <c r="AD20" s="210">
        <v>4150</v>
      </c>
      <c r="AE20" s="210">
        <v>4600</v>
      </c>
      <c r="AF20" s="210">
        <v>4500</v>
      </c>
      <c r="AG20" s="212">
        <f>SUM(AD20:AF20)</f>
        <v>13250</v>
      </c>
      <c r="AH20" s="210">
        <f>U20+Y20+AC20+AG20</f>
        <v>45000</v>
      </c>
      <c r="AI20" s="148" t="s">
        <v>0</v>
      </c>
    </row>
    <row r="21" spans="1:35" ht="16.5" customHeight="1">
      <c r="A21" s="476" t="s">
        <v>225</v>
      </c>
      <c r="B21" s="198"/>
      <c r="C21" s="408" t="s">
        <v>23</v>
      </c>
      <c r="F21" s="485">
        <v>45000</v>
      </c>
      <c r="G21" s="257"/>
      <c r="H21" s="257">
        <f t="shared" si="10"/>
        <v>45000</v>
      </c>
      <c r="I21" s="257"/>
      <c r="J21" s="257"/>
      <c r="K21" s="257"/>
      <c r="L21" s="282"/>
      <c r="M21" s="257"/>
      <c r="N21" s="257">
        <f>H21+M21</f>
        <v>45000</v>
      </c>
      <c r="O21" s="257">
        <f>N21-K21-K22-K23-K24-K25-K26</f>
        <v>41269.65</v>
      </c>
      <c r="Q21" s="208"/>
      <c r="R21" s="210">
        <v>1400</v>
      </c>
      <c r="S21" s="210">
        <f t="shared" si="11"/>
        <v>6400</v>
      </c>
      <c r="T21" s="210">
        <f t="shared" si="11"/>
        <v>6400</v>
      </c>
      <c r="U21" s="212">
        <f>SUM(R21:T21)</f>
        <v>14200</v>
      </c>
      <c r="V21" s="210">
        <v>4750</v>
      </c>
      <c r="W21" s="210">
        <v>4750</v>
      </c>
      <c r="X21" s="210">
        <v>4750</v>
      </c>
      <c r="Y21" s="212">
        <f>SUM(V21:X21)</f>
        <v>14250</v>
      </c>
      <c r="Z21" s="210">
        <v>2000</v>
      </c>
      <c r="AA21" s="210">
        <v>1450</v>
      </c>
      <c r="AB21" s="210">
        <v>1450</v>
      </c>
      <c r="AC21" s="212">
        <f>SUM(Z21:AB21)</f>
        <v>4900</v>
      </c>
      <c r="AD21" s="210">
        <v>4150</v>
      </c>
      <c r="AE21" s="210">
        <v>3750</v>
      </c>
      <c r="AF21" s="210">
        <v>3750</v>
      </c>
      <c r="AG21" s="212">
        <f>SUM(AD21:AF21)</f>
        <v>11650</v>
      </c>
      <c r="AH21" s="210">
        <f>U21+Y21+AC21+AG21</f>
        <v>45000</v>
      </c>
      <c r="AI21" s="148" t="s">
        <v>0</v>
      </c>
    </row>
    <row r="22" spans="1:35" ht="16.5" customHeight="1">
      <c r="A22" s="477"/>
      <c r="B22" s="198"/>
      <c r="C22" s="406"/>
      <c r="F22" s="485"/>
      <c r="G22" s="257"/>
      <c r="H22" s="257"/>
      <c r="I22" s="257" t="s">
        <v>781</v>
      </c>
      <c r="J22" s="284" t="s">
        <v>782</v>
      </c>
      <c r="K22" s="284">
        <v>400</v>
      </c>
      <c r="L22" s="282"/>
      <c r="M22" s="257"/>
      <c r="N22" s="257"/>
      <c r="O22" s="257"/>
      <c r="Q22" s="208"/>
      <c r="R22" s="210"/>
      <c r="S22" s="210"/>
      <c r="T22" s="210"/>
      <c r="U22" s="212"/>
      <c r="V22" s="210"/>
      <c r="W22" s="210"/>
      <c r="X22" s="210"/>
      <c r="Y22" s="212"/>
      <c r="Z22" s="210"/>
      <c r="AA22" s="210"/>
      <c r="AB22" s="210"/>
      <c r="AC22" s="212"/>
      <c r="AD22" s="210"/>
      <c r="AE22" s="210"/>
      <c r="AF22" s="210"/>
      <c r="AG22" s="212"/>
      <c r="AH22" s="210"/>
      <c r="AI22" s="148"/>
    </row>
    <row r="23" spans="1:35" ht="16.5" customHeight="1">
      <c r="A23" s="477"/>
      <c r="B23" s="198"/>
      <c r="C23" s="406"/>
      <c r="F23" s="485"/>
      <c r="G23" s="257"/>
      <c r="H23" s="257"/>
      <c r="I23" s="257" t="s">
        <v>784</v>
      </c>
      <c r="J23" s="284" t="s">
        <v>783</v>
      </c>
      <c r="K23" s="284">
        <v>400</v>
      </c>
      <c r="L23" s="282"/>
      <c r="M23" s="257"/>
      <c r="N23" s="257"/>
      <c r="O23" s="257"/>
      <c r="Q23" s="208"/>
      <c r="R23" s="210"/>
      <c r="S23" s="210"/>
      <c r="T23" s="210"/>
      <c r="U23" s="212"/>
      <c r="V23" s="210"/>
      <c r="W23" s="210"/>
      <c r="X23" s="210"/>
      <c r="Y23" s="212"/>
      <c r="Z23" s="210"/>
      <c r="AA23" s="210"/>
      <c r="AB23" s="210"/>
      <c r="AC23" s="212"/>
      <c r="AD23" s="210"/>
      <c r="AE23" s="210"/>
      <c r="AF23" s="210"/>
      <c r="AG23" s="212"/>
      <c r="AH23" s="210"/>
      <c r="AI23" s="148"/>
    </row>
    <row r="24" spans="1:35" ht="16.5" customHeight="1">
      <c r="A24" s="477"/>
      <c r="B24" s="198"/>
      <c r="C24" s="406"/>
      <c r="F24" s="485"/>
      <c r="G24" s="257"/>
      <c r="H24" s="257"/>
      <c r="I24" s="257" t="s">
        <v>787</v>
      </c>
      <c r="J24" s="284" t="s">
        <v>786</v>
      </c>
      <c r="K24" s="284">
        <v>2530.35</v>
      </c>
      <c r="L24" s="282"/>
      <c r="M24" s="257"/>
      <c r="N24" s="257"/>
      <c r="O24" s="257"/>
      <c r="Q24" s="208"/>
      <c r="R24" s="210"/>
      <c r="S24" s="210"/>
      <c r="T24" s="210"/>
      <c r="U24" s="212"/>
      <c r="V24" s="210"/>
      <c r="W24" s="210"/>
      <c r="X24" s="210"/>
      <c r="Y24" s="212"/>
      <c r="Z24" s="210"/>
      <c r="AA24" s="210"/>
      <c r="AB24" s="210"/>
      <c r="AC24" s="212"/>
      <c r="AD24" s="210"/>
      <c r="AE24" s="210"/>
      <c r="AF24" s="210"/>
      <c r="AG24" s="212"/>
      <c r="AH24" s="210"/>
      <c r="AI24" s="148"/>
    </row>
    <row r="25" spans="1:35" ht="16.5" customHeight="1">
      <c r="A25" s="477"/>
      <c r="B25" s="198"/>
      <c r="C25" s="406"/>
      <c r="F25" s="485"/>
      <c r="G25" s="257"/>
      <c r="H25" s="257"/>
      <c r="I25" s="257" t="s">
        <v>788</v>
      </c>
      <c r="J25" s="257" t="s">
        <v>789</v>
      </c>
      <c r="K25" s="257">
        <v>400</v>
      </c>
      <c r="L25" s="282"/>
      <c r="M25" s="257"/>
      <c r="N25" s="257"/>
      <c r="O25" s="257"/>
      <c r="Q25" s="208"/>
      <c r="R25" s="210"/>
      <c r="S25" s="210"/>
      <c r="T25" s="210"/>
      <c r="U25" s="212"/>
      <c r="V25" s="210"/>
      <c r="W25" s="210"/>
      <c r="X25" s="210"/>
      <c r="Y25" s="212"/>
      <c r="Z25" s="210"/>
      <c r="AA25" s="210"/>
      <c r="AB25" s="210"/>
      <c r="AC25" s="212"/>
      <c r="AD25" s="210"/>
      <c r="AE25" s="210"/>
      <c r="AF25" s="210"/>
      <c r="AG25" s="212"/>
      <c r="AH25" s="210"/>
      <c r="AI25" s="148"/>
    </row>
    <row r="26" spans="1:35" ht="16.5" customHeight="1">
      <c r="A26" s="478"/>
      <c r="B26" s="198"/>
      <c r="C26" s="407"/>
      <c r="F26" s="485"/>
      <c r="G26" s="257"/>
      <c r="H26" s="257"/>
      <c r="I26" s="257"/>
      <c r="J26" s="257"/>
      <c r="K26" s="257"/>
      <c r="L26" s="282"/>
      <c r="M26" s="257"/>
      <c r="N26" s="257"/>
      <c r="O26" s="257"/>
      <c r="Q26" s="208"/>
      <c r="R26" s="210"/>
      <c r="S26" s="210"/>
      <c r="T26" s="210"/>
      <c r="U26" s="212"/>
      <c r="V26" s="210"/>
      <c r="W26" s="210"/>
      <c r="X26" s="210"/>
      <c r="Y26" s="212"/>
      <c r="Z26" s="210"/>
      <c r="AA26" s="210"/>
      <c r="AB26" s="210"/>
      <c r="AC26" s="212"/>
      <c r="AD26" s="210"/>
      <c r="AE26" s="210"/>
      <c r="AF26" s="210"/>
      <c r="AG26" s="212"/>
      <c r="AH26" s="210"/>
      <c r="AI26" s="148"/>
    </row>
    <row r="27" spans="1:35" ht="16.5" customHeight="1">
      <c r="A27" s="218" t="s">
        <v>227</v>
      </c>
      <c r="B27" s="198"/>
      <c r="C27" s="8" t="s">
        <v>224</v>
      </c>
      <c r="F27" s="177">
        <v>1500</v>
      </c>
      <c r="G27" s="257" t="str">
        <f>Лист1!B15</f>
        <v>UA-P-2020-01-31-016158-a</v>
      </c>
      <c r="H27" s="257">
        <f t="shared" si="10"/>
        <v>1500</v>
      </c>
      <c r="I27" s="257"/>
      <c r="J27" s="257"/>
      <c r="K27" s="257"/>
      <c r="L27" s="282"/>
      <c r="M27" s="257"/>
      <c r="N27" s="257">
        <f>H27+M27</f>
        <v>1500</v>
      </c>
      <c r="O27" s="257">
        <f>N27-K27</f>
        <v>1500</v>
      </c>
      <c r="Q27" s="208"/>
      <c r="R27" s="210">
        <v>0</v>
      </c>
      <c r="S27" s="210">
        <v>0</v>
      </c>
      <c r="T27" s="210">
        <v>0</v>
      </c>
      <c r="U27" s="212">
        <f>SUM(R27:T27)</f>
        <v>0</v>
      </c>
      <c r="V27" s="210">
        <v>0</v>
      </c>
      <c r="W27" s="210">
        <v>0</v>
      </c>
      <c r="X27" s="210">
        <v>0</v>
      </c>
      <c r="Y27" s="212">
        <f>SUM(V27:X27)</f>
        <v>0</v>
      </c>
      <c r="Z27" s="210">
        <v>0</v>
      </c>
      <c r="AA27" s="210">
        <v>0</v>
      </c>
      <c r="AB27" s="210">
        <v>0</v>
      </c>
      <c r="AC27" s="212">
        <f>SUM(Z27:AB27)</f>
        <v>0</v>
      </c>
      <c r="AD27" s="210">
        <v>1500</v>
      </c>
      <c r="AE27" s="210">
        <v>0</v>
      </c>
      <c r="AF27" s="210">
        <v>0</v>
      </c>
      <c r="AG27" s="212">
        <f>SUM(AD27:AF27)</f>
        <v>1500</v>
      </c>
      <c r="AH27" s="210">
        <f>U27+Y27+AC27+AG27</f>
        <v>1500</v>
      </c>
      <c r="AI27" s="148" t="s">
        <v>0</v>
      </c>
    </row>
    <row r="28" spans="1:35" ht="16.5" customHeight="1">
      <c r="A28" s="218" t="s">
        <v>272</v>
      </c>
      <c r="B28" s="198"/>
      <c r="C28" s="8" t="s">
        <v>271</v>
      </c>
      <c r="F28" s="177">
        <v>10000</v>
      </c>
      <c r="G28" s="257" t="str">
        <f>Лист1!B16</f>
        <v>UA-P-2020-01-31-016214-a</v>
      </c>
      <c r="H28" s="257">
        <f t="shared" si="10"/>
        <v>10000</v>
      </c>
      <c r="I28" s="257"/>
      <c r="J28" s="257"/>
      <c r="K28" s="257"/>
      <c r="L28" s="282"/>
      <c r="M28" s="257"/>
      <c r="N28" s="257">
        <f>H28+M28</f>
        <v>10000</v>
      </c>
      <c r="O28" s="257">
        <f>N28-K28</f>
        <v>10000</v>
      </c>
      <c r="Q28" s="208"/>
      <c r="R28" s="210">
        <v>0</v>
      </c>
      <c r="S28" s="210">
        <v>1000</v>
      </c>
      <c r="T28" s="210">
        <v>1000</v>
      </c>
      <c r="U28" s="212">
        <f>SUM(R28:T28)</f>
        <v>2000</v>
      </c>
      <c r="V28" s="210">
        <v>1000</v>
      </c>
      <c r="W28" s="210">
        <v>1000</v>
      </c>
      <c r="X28" s="210">
        <v>1000</v>
      </c>
      <c r="Y28" s="212">
        <f>SUM(V28:X28)</f>
        <v>3000</v>
      </c>
      <c r="Z28" s="210">
        <v>0</v>
      </c>
      <c r="AA28" s="210">
        <v>1000</v>
      </c>
      <c r="AB28" s="210">
        <v>1000</v>
      </c>
      <c r="AC28" s="212">
        <f>SUM(Z28:AB28)</f>
        <v>2000</v>
      </c>
      <c r="AD28" s="210">
        <v>1000</v>
      </c>
      <c r="AE28" s="210">
        <v>1000</v>
      </c>
      <c r="AF28" s="210">
        <v>1000</v>
      </c>
      <c r="AG28" s="212">
        <f>SUM(AD28:AF28)</f>
        <v>3000</v>
      </c>
      <c r="AH28" s="210">
        <f>U28+Y28+AC28+AG28</f>
        <v>10000</v>
      </c>
      <c r="AI28" s="148" t="s">
        <v>0</v>
      </c>
    </row>
    <row r="29" spans="1:35" ht="16.5" customHeight="1">
      <c r="A29" s="483" t="s">
        <v>282</v>
      </c>
      <c r="B29" s="198"/>
      <c r="C29" s="408" t="s">
        <v>228</v>
      </c>
      <c r="F29" s="235">
        <v>25000</v>
      </c>
      <c r="G29" s="257" t="str">
        <f>Лист1!B18</f>
        <v>UA-P-2020-01-31-016183-a</v>
      </c>
      <c r="H29" s="257">
        <f t="shared" si="10"/>
        <v>25000</v>
      </c>
      <c r="I29" s="257"/>
      <c r="J29" s="257"/>
      <c r="K29" s="257"/>
      <c r="L29" s="282">
        <v>43985</v>
      </c>
      <c r="M29" s="257">
        <v>-4121</v>
      </c>
      <c r="N29" s="257">
        <f>H29+M29</f>
        <v>20879</v>
      </c>
      <c r="O29" s="257">
        <f>N29-K29-K30-K31-K32</f>
        <v>9892</v>
      </c>
      <c r="Q29" s="208"/>
      <c r="R29" s="210">
        <v>0</v>
      </c>
      <c r="S29" s="210">
        <v>0</v>
      </c>
      <c r="T29" s="210">
        <v>2200</v>
      </c>
      <c r="U29" s="212">
        <f>SUM(R29:T29)</f>
        <v>2200</v>
      </c>
      <c r="V29" s="210">
        <v>3400</v>
      </c>
      <c r="W29" s="210">
        <v>3400</v>
      </c>
      <c r="X29" s="210">
        <v>2200</v>
      </c>
      <c r="Y29" s="212">
        <f>SUM(V29:X29)</f>
        <v>9000</v>
      </c>
      <c r="Z29" s="210">
        <v>2300</v>
      </c>
      <c r="AA29" s="210">
        <v>2300</v>
      </c>
      <c r="AB29" s="210">
        <v>2300</v>
      </c>
      <c r="AC29" s="212">
        <f>SUM(Z29:AB29)</f>
        <v>6900</v>
      </c>
      <c r="AD29" s="210">
        <v>2300</v>
      </c>
      <c r="AE29" s="210">
        <v>2300</v>
      </c>
      <c r="AF29" s="210">
        <v>2300</v>
      </c>
      <c r="AG29" s="212">
        <f>SUM(AD29:AF29)</f>
        <v>6900</v>
      </c>
      <c r="AH29" s="210">
        <f>U29+Y29+AC29+AG29</f>
        <v>25000</v>
      </c>
      <c r="AI29" s="148" t="s">
        <v>0</v>
      </c>
    </row>
    <row r="30" spans="1:35" ht="16.5" customHeight="1">
      <c r="A30" s="486"/>
      <c r="B30" s="198"/>
      <c r="C30" s="406"/>
      <c r="F30" s="235"/>
      <c r="G30" s="257"/>
      <c r="H30" s="257"/>
      <c r="I30" s="257" t="s">
        <v>790</v>
      </c>
      <c r="J30" s="284" t="s">
        <v>791</v>
      </c>
      <c r="K30" s="284">
        <v>10047</v>
      </c>
      <c r="L30" s="282"/>
      <c r="M30" s="257"/>
      <c r="N30" s="257"/>
      <c r="O30" s="257"/>
      <c r="Q30" s="208"/>
      <c r="R30" s="210"/>
      <c r="S30" s="210"/>
      <c r="T30" s="210"/>
      <c r="U30" s="212"/>
      <c r="V30" s="210"/>
      <c r="W30" s="210"/>
      <c r="X30" s="210"/>
      <c r="Y30" s="212"/>
      <c r="Z30" s="210"/>
      <c r="AA30" s="210"/>
      <c r="AB30" s="210"/>
      <c r="AC30" s="212"/>
      <c r="AD30" s="210"/>
      <c r="AE30" s="210"/>
      <c r="AF30" s="210"/>
      <c r="AG30" s="212"/>
      <c r="AH30" s="210"/>
      <c r="AI30" s="148"/>
    </row>
    <row r="31" spans="1:35" ht="16.5" customHeight="1">
      <c r="A31" s="486"/>
      <c r="B31" s="198"/>
      <c r="C31" s="406"/>
      <c r="F31" s="235"/>
      <c r="G31" s="257"/>
      <c r="H31" s="257"/>
      <c r="I31" s="257" t="s">
        <v>792</v>
      </c>
      <c r="J31" s="284" t="s">
        <v>793</v>
      </c>
      <c r="K31" s="284">
        <v>940</v>
      </c>
      <c r="L31" s="282"/>
      <c r="M31" s="257"/>
      <c r="N31" s="257"/>
      <c r="O31" s="257"/>
      <c r="Q31" s="208"/>
      <c r="R31" s="210"/>
      <c r="S31" s="210"/>
      <c r="T31" s="210"/>
      <c r="U31" s="212"/>
      <c r="V31" s="210"/>
      <c r="W31" s="210"/>
      <c r="X31" s="210"/>
      <c r="Y31" s="212"/>
      <c r="Z31" s="210"/>
      <c r="AA31" s="210"/>
      <c r="AB31" s="210"/>
      <c r="AC31" s="212"/>
      <c r="AD31" s="210"/>
      <c r="AE31" s="210"/>
      <c r="AF31" s="210"/>
      <c r="AG31" s="212"/>
      <c r="AH31" s="210"/>
      <c r="AI31" s="148"/>
    </row>
    <row r="32" spans="1:35" ht="16.5" customHeight="1">
      <c r="A32" s="484"/>
      <c r="B32" s="198"/>
      <c r="C32" s="407"/>
      <c r="F32" s="235"/>
      <c r="G32" s="257"/>
      <c r="H32" s="257"/>
      <c r="I32" s="257"/>
      <c r="J32" s="257"/>
      <c r="K32" s="257"/>
      <c r="L32" s="282"/>
      <c r="M32" s="257"/>
      <c r="N32" s="257"/>
      <c r="O32" s="257"/>
      <c r="Q32" s="208"/>
      <c r="R32" s="210"/>
      <c r="S32" s="210"/>
      <c r="T32" s="210"/>
      <c r="U32" s="212"/>
      <c r="V32" s="210"/>
      <c r="W32" s="210"/>
      <c r="X32" s="210"/>
      <c r="Y32" s="212"/>
      <c r="Z32" s="210"/>
      <c r="AA32" s="210"/>
      <c r="AB32" s="210"/>
      <c r="AC32" s="212"/>
      <c r="AD32" s="210"/>
      <c r="AE32" s="210"/>
      <c r="AF32" s="210"/>
      <c r="AG32" s="212"/>
      <c r="AH32" s="210"/>
      <c r="AI32" s="148"/>
    </row>
    <row r="33" spans="1:35" ht="16.5" customHeight="1">
      <c r="A33" s="476" t="s">
        <v>283</v>
      </c>
      <c r="B33" s="198"/>
      <c r="C33" s="408" t="s">
        <v>229</v>
      </c>
      <c r="F33" s="177">
        <v>45000</v>
      </c>
      <c r="G33" s="257" t="str">
        <f>Лист1!B19</f>
        <v>UA-P-2020-01-31-016203-a</v>
      </c>
      <c r="H33" s="257">
        <f t="shared" si="10"/>
        <v>45000</v>
      </c>
      <c r="I33" s="257"/>
      <c r="J33" s="257"/>
      <c r="K33" s="257"/>
      <c r="L33" s="282"/>
      <c r="M33" s="257"/>
      <c r="N33" s="257">
        <f>H33+M33</f>
        <v>45000</v>
      </c>
      <c r="O33" s="257">
        <f>N33-K33</f>
        <v>45000</v>
      </c>
      <c r="Q33" s="208"/>
      <c r="R33" s="210">
        <v>0</v>
      </c>
      <c r="S33" s="210">
        <v>3000</v>
      </c>
      <c r="T33" s="210">
        <v>1500</v>
      </c>
      <c r="U33" s="212">
        <f>SUM(R33:T33)</f>
        <v>4500</v>
      </c>
      <c r="V33" s="210">
        <v>3000</v>
      </c>
      <c r="W33" s="210">
        <v>3000</v>
      </c>
      <c r="X33" s="210">
        <v>3000</v>
      </c>
      <c r="Y33" s="212">
        <f>SUM(V33:X33)</f>
        <v>9000</v>
      </c>
      <c r="Z33" s="210">
        <v>3000</v>
      </c>
      <c r="AA33" s="210">
        <v>3000</v>
      </c>
      <c r="AB33" s="210">
        <v>3000</v>
      </c>
      <c r="AC33" s="212">
        <f>SUM(Z33:AB33)</f>
        <v>9000</v>
      </c>
      <c r="AD33" s="210">
        <v>15000</v>
      </c>
      <c r="AE33" s="210">
        <v>4500</v>
      </c>
      <c r="AF33" s="210">
        <v>3000</v>
      </c>
      <c r="AG33" s="212">
        <f>SUM(AD33:AF33)</f>
        <v>22500</v>
      </c>
      <c r="AH33" s="210">
        <f>U33+Y33+AC33+AG33</f>
        <v>45000</v>
      </c>
      <c r="AI33" s="148" t="s">
        <v>0</v>
      </c>
    </row>
    <row r="34" spans="1:35" ht="16.5" customHeight="1">
      <c r="A34" s="478"/>
      <c r="B34" s="198"/>
      <c r="C34" s="407"/>
      <c r="F34" s="177"/>
      <c r="G34" s="257"/>
      <c r="H34" s="257"/>
      <c r="I34" s="257"/>
      <c r="J34" s="257"/>
      <c r="K34" s="257"/>
      <c r="L34" s="282"/>
      <c r="M34" s="257"/>
      <c r="N34" s="257"/>
      <c r="O34" s="257"/>
      <c r="Q34" s="208"/>
      <c r="R34" s="210"/>
      <c r="S34" s="210"/>
      <c r="T34" s="210"/>
      <c r="U34" s="212"/>
      <c r="V34" s="210"/>
      <c r="W34" s="210"/>
      <c r="X34" s="210"/>
      <c r="Y34" s="212"/>
      <c r="Z34" s="210"/>
      <c r="AA34" s="210"/>
      <c r="AB34" s="210"/>
      <c r="AC34" s="212"/>
      <c r="AD34" s="210"/>
      <c r="AE34" s="210"/>
      <c r="AF34" s="210"/>
      <c r="AG34" s="212"/>
      <c r="AH34" s="210"/>
      <c r="AI34" s="148"/>
    </row>
    <row r="35" spans="1:35" ht="16.5" customHeight="1">
      <c r="A35" s="483" t="s">
        <v>15</v>
      </c>
      <c r="B35" s="198"/>
      <c r="C35" s="408" t="s">
        <v>230</v>
      </c>
      <c r="F35" s="294">
        <f>20000+15000</f>
        <v>35000</v>
      </c>
      <c r="G35" s="257" t="str">
        <f>Лист1!B20</f>
        <v>UA-P-2020-01-31-016220-a</v>
      </c>
      <c r="H35" s="257">
        <f t="shared" si="10"/>
        <v>35000</v>
      </c>
      <c r="I35" s="257"/>
      <c r="J35" s="257"/>
      <c r="K35" s="257"/>
      <c r="L35" s="282">
        <v>43985</v>
      </c>
      <c r="M35" s="257">
        <v>4121</v>
      </c>
      <c r="N35" s="257">
        <f>H35+M35</f>
        <v>39121</v>
      </c>
      <c r="O35" s="257">
        <f>N35-K35-K36-K37</f>
        <v>18400</v>
      </c>
      <c r="P35" s="9" t="s">
        <v>491</v>
      </c>
      <c r="Q35" s="208"/>
      <c r="R35" s="210">
        <v>0</v>
      </c>
      <c r="S35" s="210">
        <v>20300</v>
      </c>
      <c r="T35" s="210">
        <v>0</v>
      </c>
      <c r="U35" s="212">
        <f>SUM(R35:T35)</f>
        <v>20300</v>
      </c>
      <c r="V35" s="210">
        <v>3750</v>
      </c>
      <c r="W35" s="210">
        <v>0</v>
      </c>
      <c r="X35" s="210">
        <v>0</v>
      </c>
      <c r="Y35" s="212">
        <f>SUM(V35:X35)</f>
        <v>3750</v>
      </c>
      <c r="Z35" s="210">
        <v>2950</v>
      </c>
      <c r="AA35" s="210">
        <v>0</v>
      </c>
      <c r="AB35" s="210">
        <v>0</v>
      </c>
      <c r="AC35" s="212">
        <f>SUM(Z35:AB35)</f>
        <v>2950</v>
      </c>
      <c r="AD35" s="210">
        <v>0</v>
      </c>
      <c r="AE35" s="210">
        <v>0</v>
      </c>
      <c r="AF35" s="210">
        <v>0</v>
      </c>
      <c r="AG35" s="212">
        <f>SUM(AD35:AF35)</f>
        <v>0</v>
      </c>
      <c r="AH35" s="210">
        <f>U35+Y35+AC35+AG35</f>
        <v>27000</v>
      </c>
      <c r="AI35" s="148" t="s">
        <v>0</v>
      </c>
    </row>
    <row r="36" spans="1:35" ht="16.5" customHeight="1">
      <c r="A36" s="486"/>
      <c r="B36" s="198"/>
      <c r="C36" s="406"/>
      <c r="F36" s="235"/>
      <c r="G36" s="257"/>
      <c r="H36" s="257"/>
      <c r="I36" s="257" t="s">
        <v>794</v>
      </c>
      <c r="J36" s="284" t="s">
        <v>795</v>
      </c>
      <c r="K36" s="284">
        <v>20721</v>
      </c>
      <c r="L36" s="282"/>
      <c r="M36" s="257"/>
      <c r="N36" s="257"/>
      <c r="O36" s="257"/>
      <c r="Q36" s="208"/>
      <c r="R36" s="210"/>
      <c r="S36" s="210"/>
      <c r="T36" s="210"/>
      <c r="U36" s="212"/>
      <c r="V36" s="210"/>
      <c r="W36" s="210"/>
      <c r="X36" s="210"/>
      <c r="Y36" s="212"/>
      <c r="Z36" s="210"/>
      <c r="AA36" s="210"/>
      <c r="AB36" s="210"/>
      <c r="AC36" s="212"/>
      <c r="AD36" s="210"/>
      <c r="AE36" s="210"/>
      <c r="AF36" s="210"/>
      <c r="AG36" s="212"/>
      <c r="AH36" s="210"/>
      <c r="AI36" s="148"/>
    </row>
    <row r="37" spans="1:35" ht="16.5" customHeight="1">
      <c r="A37" s="484"/>
      <c r="B37" s="198"/>
      <c r="C37" s="407"/>
      <c r="F37" s="235"/>
      <c r="G37" s="257"/>
      <c r="H37" s="257"/>
      <c r="I37" s="257"/>
      <c r="J37" s="257"/>
      <c r="K37" s="257"/>
      <c r="L37" s="282"/>
      <c r="M37" s="257"/>
      <c r="N37" s="257"/>
      <c r="O37" s="257"/>
      <c r="Q37" s="208"/>
      <c r="R37" s="210"/>
      <c r="S37" s="210"/>
      <c r="T37" s="210"/>
      <c r="U37" s="212"/>
      <c r="V37" s="210"/>
      <c r="W37" s="210"/>
      <c r="X37" s="210"/>
      <c r="Y37" s="212"/>
      <c r="Z37" s="210"/>
      <c r="AA37" s="210"/>
      <c r="AB37" s="210"/>
      <c r="AC37" s="212"/>
      <c r="AD37" s="210"/>
      <c r="AE37" s="210"/>
      <c r="AF37" s="210"/>
      <c r="AG37" s="212"/>
      <c r="AH37" s="210"/>
      <c r="AI37" s="148"/>
    </row>
    <row r="38" spans="1:35" ht="16.5" customHeight="1">
      <c r="A38" s="483" t="s">
        <v>232</v>
      </c>
      <c r="B38" s="198"/>
      <c r="C38" s="408" t="s">
        <v>231</v>
      </c>
      <c r="F38" s="235">
        <v>13000</v>
      </c>
      <c r="G38" s="257"/>
      <c r="H38" s="257">
        <f t="shared" si="10"/>
        <v>13000</v>
      </c>
      <c r="I38" s="257"/>
      <c r="J38" s="257"/>
      <c r="K38" s="257"/>
      <c r="L38" s="282">
        <v>43903</v>
      </c>
      <c r="M38" s="257">
        <v>1071.05</v>
      </c>
      <c r="N38" s="257">
        <f>H38+M38</f>
        <v>14071.05</v>
      </c>
      <c r="O38" s="257">
        <f>N38-K38</f>
        <v>14071.05</v>
      </c>
      <c r="Q38" s="208"/>
      <c r="R38" s="210">
        <v>1200</v>
      </c>
      <c r="S38" s="210">
        <v>3300</v>
      </c>
      <c r="T38" s="210">
        <v>0</v>
      </c>
      <c r="U38" s="212">
        <f>SUM(R38:T38)</f>
        <v>4500</v>
      </c>
      <c r="V38" s="210">
        <v>3500</v>
      </c>
      <c r="W38" s="210">
        <v>0</v>
      </c>
      <c r="X38" s="210">
        <v>0</v>
      </c>
      <c r="Y38" s="212">
        <f>SUM(V38:X38)</f>
        <v>3500</v>
      </c>
      <c r="Z38" s="210">
        <v>0</v>
      </c>
      <c r="AA38" s="210">
        <v>5000</v>
      </c>
      <c r="AB38" s="210">
        <v>0</v>
      </c>
      <c r="AC38" s="212">
        <f>SUM(Z38:AB38)</f>
        <v>5000</v>
      </c>
      <c r="AD38" s="210">
        <v>0</v>
      </c>
      <c r="AE38" s="210">
        <v>0</v>
      </c>
      <c r="AF38" s="210">
        <v>0</v>
      </c>
      <c r="AG38" s="212">
        <f>SUM(AD38:AF38)</f>
        <v>0</v>
      </c>
      <c r="AH38" s="210">
        <f>U38+Y38+AC38+AG38</f>
        <v>13000</v>
      </c>
      <c r="AI38" s="148" t="s">
        <v>0</v>
      </c>
    </row>
    <row r="39" spans="1:35" ht="16.5" customHeight="1">
      <c r="A39" s="484"/>
      <c r="B39" s="198"/>
      <c r="C39" s="407"/>
      <c r="F39" s="235"/>
      <c r="G39" s="257"/>
      <c r="H39" s="257"/>
      <c r="I39" s="257"/>
      <c r="J39" s="257"/>
      <c r="K39" s="257"/>
      <c r="L39" s="282"/>
      <c r="M39" s="257"/>
      <c r="N39" s="257"/>
      <c r="O39" s="257"/>
      <c r="Q39" s="208"/>
      <c r="R39" s="210"/>
      <c r="S39" s="210"/>
      <c r="T39" s="210"/>
      <c r="U39" s="212"/>
      <c r="V39" s="210"/>
      <c r="W39" s="210"/>
      <c r="X39" s="210"/>
      <c r="Y39" s="212"/>
      <c r="Z39" s="210"/>
      <c r="AA39" s="210"/>
      <c r="AB39" s="210"/>
      <c r="AC39" s="212"/>
      <c r="AD39" s="210"/>
      <c r="AE39" s="210"/>
      <c r="AF39" s="210"/>
      <c r="AG39" s="212"/>
      <c r="AH39" s="210"/>
      <c r="AI39" s="148"/>
    </row>
    <row r="40" spans="1:35" ht="16.5" customHeight="1">
      <c r="A40" s="218" t="s">
        <v>233</v>
      </c>
      <c r="B40" s="198"/>
      <c r="C40" s="8" t="s">
        <v>234</v>
      </c>
      <c r="F40" s="177">
        <v>3000</v>
      </c>
      <c r="G40" s="257" t="str">
        <f>Лист1!B22</f>
        <v>UA-P-2020-01-31-016213-a</v>
      </c>
      <c r="H40" s="257">
        <f t="shared" si="10"/>
        <v>3000</v>
      </c>
      <c r="I40" s="257"/>
      <c r="J40" s="257"/>
      <c r="K40" s="257"/>
      <c r="L40" s="282"/>
      <c r="M40" s="257"/>
      <c r="N40" s="257">
        <f>H40+M40</f>
        <v>3000</v>
      </c>
      <c r="O40" s="257">
        <f>N40-K40</f>
        <v>3000</v>
      </c>
      <c r="Q40" s="208"/>
      <c r="R40" s="210">
        <v>0</v>
      </c>
      <c r="S40" s="210">
        <v>0</v>
      </c>
      <c r="T40" s="210">
        <v>3000</v>
      </c>
      <c r="U40" s="212">
        <f>SUM(R40:T40)</f>
        <v>3000</v>
      </c>
      <c r="V40" s="210">
        <v>0</v>
      </c>
      <c r="W40" s="210">
        <v>0</v>
      </c>
      <c r="X40" s="210">
        <v>0</v>
      </c>
      <c r="Y40" s="212">
        <f>SUM(V40:X40)</f>
        <v>0</v>
      </c>
      <c r="Z40" s="210">
        <v>0</v>
      </c>
      <c r="AA40" s="210">
        <v>0</v>
      </c>
      <c r="AB40" s="210">
        <v>0</v>
      </c>
      <c r="AC40" s="212">
        <f>SUM(Z40:AB40)</f>
        <v>0</v>
      </c>
      <c r="AD40" s="210">
        <v>0</v>
      </c>
      <c r="AE40" s="210">
        <v>0</v>
      </c>
      <c r="AF40" s="210">
        <v>0</v>
      </c>
      <c r="AG40" s="212">
        <f>SUM(AD40:AF40)</f>
        <v>0</v>
      </c>
      <c r="AH40" s="210">
        <f>U40+Y40+AC40+AG40</f>
        <v>3000</v>
      </c>
      <c r="AI40" s="148" t="s">
        <v>0</v>
      </c>
    </row>
    <row r="41" spans="1:35" ht="16.5" customHeight="1">
      <c r="A41" s="476" t="s">
        <v>428</v>
      </c>
      <c r="B41" s="198"/>
      <c r="C41" s="408" t="s">
        <v>329</v>
      </c>
      <c r="F41" s="177">
        <v>3000</v>
      </c>
      <c r="G41" s="257"/>
      <c r="H41" s="257">
        <f t="shared" si="10"/>
        <v>3000</v>
      </c>
      <c r="I41" s="257"/>
      <c r="J41" s="257"/>
      <c r="K41" s="257"/>
      <c r="L41" s="282" t="s">
        <v>796</v>
      </c>
      <c r="M41" s="257">
        <f>2953.2+700+980</f>
        <v>4633.2</v>
      </c>
      <c r="N41" s="257">
        <f>H41+M41</f>
        <v>7633.2</v>
      </c>
      <c r="O41" s="257">
        <f>N41-K41-K42-K43-K44-K45</f>
        <v>5953.2</v>
      </c>
      <c r="Q41" s="208"/>
      <c r="R41" s="210">
        <v>0</v>
      </c>
      <c r="S41" s="210">
        <v>2000</v>
      </c>
      <c r="T41" s="210">
        <v>0</v>
      </c>
      <c r="U41" s="212">
        <f>SUM(R41:T41)</f>
        <v>2000</v>
      </c>
      <c r="V41" s="210">
        <v>0</v>
      </c>
      <c r="W41" s="210">
        <v>0</v>
      </c>
      <c r="X41" s="210">
        <v>0</v>
      </c>
      <c r="Y41" s="212">
        <f>SUM(V41:X41)</f>
        <v>0</v>
      </c>
      <c r="Z41" s="210">
        <v>0</v>
      </c>
      <c r="AA41" s="210">
        <v>0</v>
      </c>
      <c r="AB41" s="210">
        <v>1000</v>
      </c>
      <c r="AC41" s="212">
        <f>SUM(Z41:AB41)</f>
        <v>1000</v>
      </c>
      <c r="AD41" s="210">
        <v>0</v>
      </c>
      <c r="AE41" s="210">
        <v>0</v>
      </c>
      <c r="AF41" s="210">
        <v>0</v>
      </c>
      <c r="AG41" s="212">
        <f>SUM(AD41:AF41)</f>
        <v>0</v>
      </c>
      <c r="AH41" s="210">
        <f>U41+Y41+AC41+AG41</f>
        <v>3000</v>
      </c>
      <c r="AI41" s="148" t="s">
        <v>0</v>
      </c>
    </row>
    <row r="42" spans="1:35" ht="16.5" customHeight="1">
      <c r="A42" s="477"/>
      <c r="B42" s="198"/>
      <c r="C42" s="406"/>
      <c r="F42" s="177"/>
      <c r="G42" s="295" t="s">
        <v>813</v>
      </c>
      <c r="H42" s="257"/>
      <c r="I42" s="257" t="s">
        <v>797</v>
      </c>
      <c r="J42" s="284" t="s">
        <v>798</v>
      </c>
      <c r="K42" s="284">
        <v>700</v>
      </c>
      <c r="L42" s="282"/>
      <c r="M42" s="257"/>
      <c r="N42" s="257"/>
      <c r="O42" s="257"/>
      <c r="Q42" s="208"/>
      <c r="R42" s="210"/>
      <c r="S42" s="210"/>
      <c r="T42" s="210"/>
      <c r="U42" s="212"/>
      <c r="V42" s="210"/>
      <c r="W42" s="210"/>
      <c r="X42" s="210"/>
      <c r="Y42" s="212"/>
      <c r="Z42" s="210"/>
      <c r="AA42" s="210"/>
      <c r="AB42" s="210"/>
      <c r="AC42" s="212"/>
      <c r="AD42" s="210"/>
      <c r="AE42" s="210"/>
      <c r="AF42" s="210"/>
      <c r="AG42" s="212"/>
      <c r="AH42" s="210"/>
      <c r="AI42" s="148"/>
    </row>
    <row r="43" spans="1:35" ht="16.5" customHeight="1">
      <c r="A43" s="477"/>
      <c r="B43" s="198"/>
      <c r="C43" s="406"/>
      <c r="F43" s="177"/>
      <c r="G43" s="295" t="s">
        <v>813</v>
      </c>
      <c r="H43" s="257"/>
      <c r="I43" s="257" t="s">
        <v>799</v>
      </c>
      <c r="J43" s="284" t="s">
        <v>800</v>
      </c>
      <c r="K43" s="284">
        <v>980</v>
      </c>
      <c r="L43" s="282"/>
      <c r="M43" s="257"/>
      <c r="N43" s="257"/>
      <c r="O43" s="257"/>
      <c r="Q43" s="208"/>
      <c r="R43" s="210"/>
      <c r="S43" s="210"/>
      <c r="T43" s="210"/>
      <c r="U43" s="212"/>
      <c r="V43" s="210"/>
      <c r="W43" s="210"/>
      <c r="X43" s="210"/>
      <c r="Y43" s="212"/>
      <c r="Z43" s="210"/>
      <c r="AA43" s="210"/>
      <c r="AB43" s="210"/>
      <c r="AC43" s="212"/>
      <c r="AD43" s="210"/>
      <c r="AE43" s="210"/>
      <c r="AF43" s="210"/>
      <c r="AG43" s="212"/>
      <c r="AH43" s="210"/>
      <c r="AI43" s="148"/>
    </row>
    <row r="44" spans="1:35" ht="16.5" customHeight="1">
      <c r="A44" s="477"/>
      <c r="B44" s="198"/>
      <c r="C44" s="406"/>
      <c r="F44" s="177"/>
      <c r="G44" s="257"/>
      <c r="H44" s="257"/>
      <c r="I44" s="257"/>
      <c r="J44" s="257"/>
      <c r="K44" s="257"/>
      <c r="L44" s="282"/>
      <c r="M44" s="257"/>
      <c r="N44" s="257"/>
      <c r="O44" s="257"/>
      <c r="Q44" s="208"/>
      <c r="R44" s="210"/>
      <c r="S44" s="210"/>
      <c r="T44" s="210"/>
      <c r="U44" s="212"/>
      <c r="V44" s="210"/>
      <c r="W44" s="210"/>
      <c r="X44" s="210"/>
      <c r="Y44" s="212"/>
      <c r="Z44" s="210"/>
      <c r="AA44" s="210"/>
      <c r="AB44" s="210"/>
      <c r="AC44" s="212"/>
      <c r="AD44" s="210"/>
      <c r="AE44" s="210"/>
      <c r="AF44" s="210"/>
      <c r="AG44" s="212"/>
      <c r="AH44" s="210"/>
      <c r="AI44" s="148"/>
    </row>
    <row r="45" spans="1:35" ht="16.5" customHeight="1">
      <c r="A45" s="478"/>
      <c r="B45" s="198"/>
      <c r="C45" s="407"/>
      <c r="F45" s="177"/>
      <c r="G45" s="257"/>
      <c r="H45" s="257"/>
      <c r="I45" s="257"/>
      <c r="J45" s="257"/>
      <c r="K45" s="257"/>
      <c r="L45" s="282"/>
      <c r="M45" s="257"/>
      <c r="N45" s="257"/>
      <c r="O45" s="257"/>
      <c r="Q45" s="208"/>
      <c r="R45" s="210"/>
      <c r="S45" s="210"/>
      <c r="T45" s="210"/>
      <c r="U45" s="212"/>
      <c r="V45" s="210"/>
      <c r="W45" s="210"/>
      <c r="X45" s="210"/>
      <c r="Y45" s="212"/>
      <c r="Z45" s="210"/>
      <c r="AA45" s="210"/>
      <c r="AB45" s="210"/>
      <c r="AC45" s="212"/>
      <c r="AD45" s="210"/>
      <c r="AE45" s="210"/>
      <c r="AF45" s="210"/>
      <c r="AG45" s="212"/>
      <c r="AH45" s="210"/>
      <c r="AI45" s="148"/>
    </row>
    <row r="46" spans="1:35" ht="16.5" customHeight="1">
      <c r="A46" s="476" t="s">
        <v>429</v>
      </c>
      <c r="B46" s="198"/>
      <c r="C46" s="408" t="s">
        <v>237</v>
      </c>
      <c r="F46" s="177">
        <v>7000</v>
      </c>
      <c r="G46" s="257" t="str">
        <f>Лист1!B24</f>
        <v>UA-P-2020-01-31-016197-a</v>
      </c>
      <c r="H46" s="257">
        <f t="shared" si="10"/>
        <v>7000</v>
      </c>
      <c r="I46" s="257"/>
      <c r="J46" s="257"/>
      <c r="K46" s="257"/>
      <c r="L46" s="282"/>
      <c r="M46" s="257"/>
      <c r="N46" s="257">
        <f>H46+M46</f>
        <v>7000</v>
      </c>
      <c r="O46" s="257">
        <f>N46-K46-K47</f>
        <v>6120</v>
      </c>
      <c r="Q46" s="208"/>
      <c r="R46" s="210">
        <v>0</v>
      </c>
      <c r="S46" s="210">
        <v>2000</v>
      </c>
      <c r="T46" s="210">
        <v>2000</v>
      </c>
      <c r="U46" s="212">
        <f>SUM(R46:T46)</f>
        <v>4000</v>
      </c>
      <c r="V46" s="210">
        <v>0</v>
      </c>
      <c r="W46" s="210">
        <v>0</v>
      </c>
      <c r="X46" s="210">
        <v>0</v>
      </c>
      <c r="Y46" s="212">
        <f>SUM(V46:X46)</f>
        <v>0</v>
      </c>
      <c r="Z46" s="210">
        <v>0</v>
      </c>
      <c r="AA46" s="210">
        <v>1500</v>
      </c>
      <c r="AB46" s="210">
        <v>0</v>
      </c>
      <c r="AC46" s="212">
        <f>SUM(Z46:AB46)</f>
        <v>1500</v>
      </c>
      <c r="AD46" s="210">
        <v>0</v>
      </c>
      <c r="AE46" s="210">
        <v>1500</v>
      </c>
      <c r="AF46" s="210">
        <v>0</v>
      </c>
      <c r="AG46" s="212">
        <f>SUM(AD46:AF46)</f>
        <v>1500</v>
      </c>
      <c r="AH46" s="210">
        <f>U46+Y46+AC46+AG46</f>
        <v>7000</v>
      </c>
      <c r="AI46" s="148" t="s">
        <v>0</v>
      </c>
    </row>
    <row r="47" spans="1:35" ht="16.5" customHeight="1">
      <c r="A47" s="478"/>
      <c r="B47" s="198"/>
      <c r="C47" s="407"/>
      <c r="F47" s="177"/>
      <c r="G47" s="257"/>
      <c r="H47" s="257"/>
      <c r="I47" s="257" t="s">
        <v>801</v>
      </c>
      <c r="J47" s="284" t="s">
        <v>802</v>
      </c>
      <c r="K47" s="284">
        <v>880</v>
      </c>
      <c r="L47" s="282"/>
      <c r="M47" s="257"/>
      <c r="N47" s="257"/>
      <c r="O47" s="257"/>
      <c r="Q47" s="208"/>
      <c r="R47" s="210"/>
      <c r="S47" s="210"/>
      <c r="T47" s="210"/>
      <c r="U47" s="212"/>
      <c r="V47" s="210"/>
      <c r="W47" s="210"/>
      <c r="X47" s="210"/>
      <c r="Y47" s="212"/>
      <c r="Z47" s="210"/>
      <c r="AA47" s="210"/>
      <c r="AB47" s="210"/>
      <c r="AC47" s="212"/>
      <c r="AD47" s="210"/>
      <c r="AE47" s="210"/>
      <c r="AF47" s="210"/>
      <c r="AG47" s="212"/>
      <c r="AH47" s="210"/>
      <c r="AI47" s="148"/>
    </row>
    <row r="48" spans="1:35" ht="16.5" customHeight="1">
      <c r="A48" s="476" t="s">
        <v>17</v>
      </c>
      <c r="B48" s="198"/>
      <c r="C48" s="408" t="s">
        <v>16</v>
      </c>
      <c r="F48" s="177">
        <v>3500</v>
      </c>
      <c r="G48" s="257" t="str">
        <f>Лист1!B31</f>
        <v>UA-P-2020-01-31-016178-a</v>
      </c>
      <c r="H48" s="257">
        <f t="shared" si="10"/>
        <v>3500</v>
      </c>
      <c r="I48" s="257"/>
      <c r="J48" s="257"/>
      <c r="K48" s="257"/>
      <c r="L48" s="282" t="s">
        <v>926</v>
      </c>
      <c r="M48" s="257">
        <f>2100+2800</f>
        <v>4900</v>
      </c>
      <c r="N48" s="257">
        <f>H48+M48</f>
        <v>8400</v>
      </c>
      <c r="O48" s="257">
        <f>N48-K48-K49-K50-K51</f>
        <v>5600</v>
      </c>
      <c r="Q48" s="208"/>
      <c r="R48" s="210"/>
      <c r="S48" s="210">
        <v>350</v>
      </c>
      <c r="T48" s="210">
        <v>350</v>
      </c>
      <c r="U48" s="212">
        <f>SUM(R48:T48)</f>
        <v>700</v>
      </c>
      <c r="V48" s="210">
        <v>350</v>
      </c>
      <c r="W48" s="210">
        <v>350</v>
      </c>
      <c r="X48" s="210"/>
      <c r="Y48" s="212">
        <f>SUM(V48:X48)</f>
        <v>700</v>
      </c>
      <c r="Z48" s="210">
        <v>350</v>
      </c>
      <c r="AA48" s="210">
        <v>350</v>
      </c>
      <c r="AB48" s="210">
        <v>350</v>
      </c>
      <c r="AC48" s="212">
        <f>SUM(Z48:AB48)</f>
        <v>1050</v>
      </c>
      <c r="AD48" s="210">
        <v>350</v>
      </c>
      <c r="AE48" s="210">
        <v>350</v>
      </c>
      <c r="AF48" s="210">
        <v>350</v>
      </c>
      <c r="AG48" s="212">
        <f>SUM(AD48:AF48)</f>
        <v>1050</v>
      </c>
      <c r="AH48" s="210">
        <f>U48+Y48+AC48+AG48</f>
        <v>3500</v>
      </c>
      <c r="AI48" s="148" t="s">
        <v>0</v>
      </c>
    </row>
    <row r="49" spans="1:35" ht="16.5" customHeight="1">
      <c r="A49" s="477"/>
      <c r="B49" s="198"/>
      <c r="C49" s="406"/>
      <c r="F49" s="287"/>
      <c r="G49" s="257"/>
      <c r="H49" s="257"/>
      <c r="I49" s="257"/>
      <c r="J49" s="257"/>
      <c r="K49" s="221">
        <v>2800</v>
      </c>
      <c r="L49" s="282"/>
      <c r="M49" s="257"/>
      <c r="N49" s="257"/>
      <c r="O49" s="257"/>
      <c r="Q49" s="208"/>
      <c r="R49" s="210"/>
      <c r="S49" s="210"/>
      <c r="T49" s="210"/>
      <c r="U49" s="212"/>
      <c r="V49" s="210"/>
      <c r="W49" s="210"/>
      <c r="X49" s="210"/>
      <c r="Y49" s="212"/>
      <c r="Z49" s="210"/>
      <c r="AA49" s="210"/>
      <c r="AB49" s="210"/>
      <c r="AC49" s="212"/>
      <c r="AD49" s="210"/>
      <c r="AE49" s="210"/>
      <c r="AF49" s="210"/>
      <c r="AG49" s="212"/>
      <c r="AH49" s="210"/>
      <c r="AI49" s="148"/>
    </row>
    <row r="50" spans="1:35" ht="16.5" customHeight="1">
      <c r="A50" s="477"/>
      <c r="B50" s="198"/>
      <c r="C50" s="406"/>
      <c r="F50" s="287"/>
      <c r="G50" s="257"/>
      <c r="H50" s="257"/>
      <c r="I50" s="257"/>
      <c r="J50" s="257"/>
      <c r="K50" s="257"/>
      <c r="L50" s="282"/>
      <c r="M50" s="257"/>
      <c r="N50" s="257"/>
      <c r="O50" s="257"/>
      <c r="Q50" s="208"/>
      <c r="R50" s="210"/>
      <c r="S50" s="210"/>
      <c r="T50" s="210"/>
      <c r="U50" s="212"/>
      <c r="V50" s="210"/>
      <c r="W50" s="210"/>
      <c r="X50" s="210"/>
      <c r="Y50" s="212"/>
      <c r="Z50" s="210"/>
      <c r="AA50" s="210"/>
      <c r="AB50" s="210"/>
      <c r="AC50" s="212"/>
      <c r="AD50" s="210"/>
      <c r="AE50" s="210"/>
      <c r="AF50" s="210"/>
      <c r="AG50" s="212"/>
      <c r="AH50" s="210"/>
      <c r="AI50" s="148"/>
    </row>
    <row r="51" spans="1:35" ht="16.5" customHeight="1">
      <c r="A51" s="478"/>
      <c r="B51" s="198"/>
      <c r="C51" s="407"/>
      <c r="F51" s="177"/>
      <c r="G51" s="257"/>
      <c r="H51" s="257"/>
      <c r="I51" s="257"/>
      <c r="J51" s="257"/>
      <c r="K51" s="257"/>
      <c r="L51" s="282"/>
      <c r="M51" s="257"/>
      <c r="N51" s="257"/>
      <c r="O51" s="257"/>
      <c r="Q51" s="208"/>
      <c r="R51" s="210"/>
      <c r="S51" s="210"/>
      <c r="T51" s="210"/>
      <c r="U51" s="212"/>
      <c r="V51" s="210"/>
      <c r="W51" s="210"/>
      <c r="X51" s="210"/>
      <c r="Y51" s="212"/>
      <c r="Z51" s="210"/>
      <c r="AA51" s="210"/>
      <c r="AB51" s="210"/>
      <c r="AC51" s="212"/>
      <c r="AD51" s="210"/>
      <c r="AE51" s="210"/>
      <c r="AF51" s="210"/>
      <c r="AG51" s="212"/>
      <c r="AH51" s="210"/>
      <c r="AI51" s="148"/>
    </row>
    <row r="52" spans="1:35" ht="16.5" customHeight="1">
      <c r="A52" s="218" t="s">
        <v>240</v>
      </c>
      <c r="B52" s="198"/>
      <c r="C52" s="8" t="s">
        <v>239</v>
      </c>
      <c r="D52" s="154"/>
      <c r="E52" s="154"/>
      <c r="F52" s="177">
        <v>2500</v>
      </c>
      <c r="G52" s="257" t="str">
        <f>Лист1!B32</f>
        <v>UA-P-2020-01-31-016200-a</v>
      </c>
      <c r="H52" s="257">
        <f t="shared" si="10"/>
        <v>2500</v>
      </c>
      <c r="I52" s="257"/>
      <c r="J52" s="257"/>
      <c r="K52" s="257"/>
      <c r="L52" s="282"/>
      <c r="M52" s="257"/>
      <c r="N52" s="257">
        <f>H52+M52</f>
        <v>2500</v>
      </c>
      <c r="O52" s="257">
        <f>N52-K52</f>
        <v>2500</v>
      </c>
      <c r="Q52" s="208"/>
      <c r="R52" s="210"/>
      <c r="S52" s="210"/>
      <c r="T52" s="210">
        <v>625</v>
      </c>
      <c r="U52" s="212">
        <f>SUM(R52:T52)</f>
        <v>625</v>
      </c>
      <c r="V52" s="210"/>
      <c r="W52" s="210"/>
      <c r="X52" s="210">
        <v>625</v>
      </c>
      <c r="Y52" s="212">
        <f>SUM(V52:X52)</f>
        <v>625</v>
      </c>
      <c r="Z52" s="210"/>
      <c r="AA52" s="210"/>
      <c r="AB52" s="210">
        <v>625</v>
      </c>
      <c r="AC52" s="212">
        <f>SUM(Z52:AB52)</f>
        <v>625</v>
      </c>
      <c r="AD52" s="210"/>
      <c r="AE52" s="210">
        <v>625</v>
      </c>
      <c r="AF52" s="210"/>
      <c r="AG52" s="212">
        <f>SUM(AD52:AF52)</f>
        <v>625</v>
      </c>
      <c r="AH52" s="210">
        <f>U52+Y52+AC52+AG52</f>
        <v>2500</v>
      </c>
      <c r="AI52" s="148" t="s">
        <v>0</v>
      </c>
    </row>
    <row r="53" spans="1:35" ht="16.5" customHeight="1">
      <c r="A53" s="218" t="s">
        <v>242</v>
      </c>
      <c r="B53" s="198"/>
      <c r="C53" s="8" t="s">
        <v>241</v>
      </c>
      <c r="F53" s="177">
        <v>15000</v>
      </c>
      <c r="G53" s="257" t="str">
        <f>Лист1!B33</f>
        <v>UA-P-2020-01-31-016184-a</v>
      </c>
      <c r="H53" s="257">
        <f t="shared" si="10"/>
        <v>15000</v>
      </c>
      <c r="I53" s="257"/>
      <c r="J53" s="257"/>
      <c r="K53" s="257"/>
      <c r="L53" s="282"/>
      <c r="M53" s="257"/>
      <c r="N53" s="257">
        <f>H53+M53</f>
        <v>15000</v>
      </c>
      <c r="O53" s="257">
        <f>N53-K53</f>
        <v>15000</v>
      </c>
      <c r="Q53" s="208"/>
      <c r="R53" s="210"/>
      <c r="S53" s="210">
        <v>3750</v>
      </c>
      <c r="T53" s="210"/>
      <c r="U53" s="212">
        <f>SUM(R53:T53)</f>
        <v>3750</v>
      </c>
      <c r="V53" s="210"/>
      <c r="W53" s="210">
        <v>3750</v>
      </c>
      <c r="X53" s="210"/>
      <c r="Y53" s="212">
        <f>SUM(V53:X53)</f>
        <v>3750</v>
      </c>
      <c r="Z53" s="210"/>
      <c r="AA53" s="210"/>
      <c r="AB53" s="210">
        <v>3750</v>
      </c>
      <c r="AC53" s="212">
        <f>SUM(Z53:AB53)</f>
        <v>3750</v>
      </c>
      <c r="AD53" s="210">
        <v>3750</v>
      </c>
      <c r="AE53" s="210"/>
      <c r="AF53" s="210"/>
      <c r="AG53" s="212">
        <f>SUM(AD53:AF53)</f>
        <v>3750</v>
      </c>
      <c r="AH53" s="210">
        <f>U53+Y53+AC53+AG53</f>
        <v>15000</v>
      </c>
      <c r="AI53" s="148" t="s">
        <v>0</v>
      </c>
    </row>
    <row r="54" spans="1:35" ht="16.5" customHeight="1">
      <c r="A54" s="476" t="s">
        <v>244</v>
      </c>
      <c r="B54" s="198"/>
      <c r="C54" s="408" t="s">
        <v>243</v>
      </c>
      <c r="F54" s="177">
        <v>35000</v>
      </c>
      <c r="G54" s="257" t="str">
        <f>Лист1!B34</f>
        <v>UA-P-2020-01-31-016166-a</v>
      </c>
      <c r="H54" s="257">
        <f t="shared" si="10"/>
        <v>35000</v>
      </c>
      <c r="I54" s="257"/>
      <c r="J54" s="257"/>
      <c r="K54" s="257"/>
      <c r="L54" s="282"/>
      <c r="M54" s="257"/>
      <c r="N54" s="257">
        <f>H54+M54</f>
        <v>35000</v>
      </c>
      <c r="O54" s="257">
        <f>N54-K54-K55-K56</f>
        <v>27415</v>
      </c>
      <c r="Q54" s="208"/>
      <c r="R54" s="210"/>
      <c r="S54" s="210">
        <v>4375</v>
      </c>
      <c r="T54" s="210">
        <v>4375</v>
      </c>
      <c r="U54" s="212">
        <f>SUM(R54:T54)</f>
        <v>8750</v>
      </c>
      <c r="V54" s="210">
        <v>4375</v>
      </c>
      <c r="W54" s="210">
        <v>4375</v>
      </c>
      <c r="X54" s="210"/>
      <c r="Y54" s="212">
        <f>SUM(V54:X54)</f>
        <v>8750</v>
      </c>
      <c r="Z54" s="210">
        <v>4375</v>
      </c>
      <c r="AA54" s="210"/>
      <c r="AB54" s="210">
        <v>4375</v>
      </c>
      <c r="AC54" s="212">
        <f>SUM(Z54:AB54)</f>
        <v>8750</v>
      </c>
      <c r="AD54" s="210">
        <v>4375</v>
      </c>
      <c r="AE54" s="210">
        <v>4375</v>
      </c>
      <c r="AF54" s="210"/>
      <c r="AG54" s="212">
        <f>SUM(AD54:AF54)</f>
        <v>8750</v>
      </c>
      <c r="AH54" s="210">
        <f>U54+Y54+AC54+AG54</f>
        <v>35000</v>
      </c>
      <c r="AI54" s="148" t="s">
        <v>0</v>
      </c>
    </row>
    <row r="55" spans="1:35" ht="16.5" customHeight="1">
      <c r="A55" s="477"/>
      <c r="B55" s="198"/>
      <c r="C55" s="406"/>
      <c r="F55" s="177"/>
      <c r="G55" s="257"/>
      <c r="H55" s="257"/>
      <c r="I55" s="257" t="s">
        <v>803</v>
      </c>
      <c r="J55" s="284" t="s">
        <v>804</v>
      </c>
      <c r="K55" s="284">
        <v>7585</v>
      </c>
      <c r="L55" s="282"/>
      <c r="M55" s="257"/>
      <c r="N55" s="257"/>
      <c r="O55" s="257"/>
      <c r="Q55" s="208"/>
      <c r="R55" s="210"/>
      <c r="S55" s="210"/>
      <c r="T55" s="210"/>
      <c r="U55" s="212"/>
      <c r="V55" s="210"/>
      <c r="W55" s="210"/>
      <c r="X55" s="210"/>
      <c r="Y55" s="212"/>
      <c r="Z55" s="210"/>
      <c r="AA55" s="210"/>
      <c r="AB55" s="210"/>
      <c r="AC55" s="212"/>
      <c r="AD55" s="210"/>
      <c r="AE55" s="210"/>
      <c r="AF55" s="210"/>
      <c r="AG55" s="212"/>
      <c r="AH55" s="210"/>
      <c r="AI55" s="148"/>
    </row>
    <row r="56" spans="1:35" ht="16.5" customHeight="1">
      <c r="A56" s="478"/>
      <c r="B56" s="198"/>
      <c r="C56" s="407"/>
      <c r="F56" s="177"/>
      <c r="G56" s="257"/>
      <c r="H56" s="257"/>
      <c r="I56" s="257"/>
      <c r="J56" s="257"/>
      <c r="K56" s="257"/>
      <c r="L56" s="282"/>
      <c r="M56" s="257"/>
      <c r="N56" s="257"/>
      <c r="O56" s="257"/>
      <c r="Q56" s="208"/>
      <c r="R56" s="210"/>
      <c r="S56" s="210"/>
      <c r="T56" s="210"/>
      <c r="U56" s="212"/>
      <c r="V56" s="210"/>
      <c r="W56" s="210"/>
      <c r="X56" s="210"/>
      <c r="Y56" s="212"/>
      <c r="Z56" s="210"/>
      <c r="AA56" s="210"/>
      <c r="AB56" s="210"/>
      <c r="AC56" s="212"/>
      <c r="AD56" s="210"/>
      <c r="AE56" s="210"/>
      <c r="AF56" s="210"/>
      <c r="AG56" s="212"/>
      <c r="AH56" s="210"/>
      <c r="AI56" s="148"/>
    </row>
    <row r="57" spans="1:35" ht="16.5" customHeight="1">
      <c r="A57" s="483" t="s">
        <v>246</v>
      </c>
      <c r="B57" s="198"/>
      <c r="C57" s="408" t="s">
        <v>245</v>
      </c>
      <c r="D57" s="154"/>
      <c r="E57" s="154"/>
      <c r="F57" s="235">
        <f>2200*4+16200-2600-1400-3000-6000</f>
        <v>12000</v>
      </c>
      <c r="G57" s="257" t="str">
        <f>Лист1!B35</f>
        <v>UA-P-2020-01-31-016188-a</v>
      </c>
      <c r="H57" s="257">
        <f t="shared" si="10"/>
        <v>12000</v>
      </c>
      <c r="I57" s="257"/>
      <c r="J57" s="257"/>
      <c r="K57" s="257"/>
      <c r="L57" s="282"/>
      <c r="M57" s="257"/>
      <c r="N57" s="257">
        <f>H57+M57</f>
        <v>12000</v>
      </c>
      <c r="O57" s="257">
        <f>N57-K57-K58</f>
        <v>8400</v>
      </c>
      <c r="Q57" s="208"/>
      <c r="R57" s="210">
        <v>5500</v>
      </c>
      <c r="S57" s="210">
        <v>1500</v>
      </c>
      <c r="T57" s="210"/>
      <c r="U57" s="212">
        <f>SUM(R57:T57)</f>
        <v>7000</v>
      </c>
      <c r="V57" s="210"/>
      <c r="W57" s="210"/>
      <c r="X57" s="210"/>
      <c r="Y57" s="212">
        <f>SUM(V57:X57)</f>
        <v>0</v>
      </c>
      <c r="Z57" s="210"/>
      <c r="AA57" s="210"/>
      <c r="AB57" s="210">
        <v>5000</v>
      </c>
      <c r="AC57" s="212">
        <f>SUM(Z57:AB57)</f>
        <v>5000</v>
      </c>
      <c r="AD57" s="210">
        <v>0</v>
      </c>
      <c r="AE57" s="210">
        <v>0</v>
      </c>
      <c r="AF57" s="210">
        <v>0</v>
      </c>
      <c r="AG57" s="212">
        <f>SUM(AD57:AF57)</f>
        <v>0</v>
      </c>
      <c r="AH57" s="210">
        <f>U57+Y57+AC57+AG57</f>
        <v>12000</v>
      </c>
      <c r="AI57" s="148" t="s">
        <v>0</v>
      </c>
    </row>
    <row r="58" spans="1:35" ht="16.5" customHeight="1">
      <c r="A58" s="484"/>
      <c r="B58" s="198"/>
      <c r="C58" s="407"/>
      <c r="D58" s="154"/>
      <c r="E58" s="154"/>
      <c r="F58" s="235"/>
      <c r="G58" s="257"/>
      <c r="H58" s="257"/>
      <c r="I58" s="257" t="s">
        <v>805</v>
      </c>
      <c r="J58" s="284" t="s">
        <v>806</v>
      </c>
      <c r="K58" s="284">
        <v>3600</v>
      </c>
      <c r="L58" s="282"/>
      <c r="M58" s="257"/>
      <c r="N58" s="257"/>
      <c r="O58" s="257"/>
      <c r="Q58" s="208"/>
      <c r="R58" s="210"/>
      <c r="S58" s="210"/>
      <c r="T58" s="210"/>
      <c r="U58" s="212"/>
      <c r="V58" s="210"/>
      <c r="W58" s="210"/>
      <c r="X58" s="210"/>
      <c r="Y58" s="212"/>
      <c r="Z58" s="210"/>
      <c r="AA58" s="210"/>
      <c r="AB58" s="210"/>
      <c r="AC58" s="212"/>
      <c r="AD58" s="210"/>
      <c r="AE58" s="210"/>
      <c r="AF58" s="210"/>
      <c r="AG58" s="212"/>
      <c r="AH58" s="210"/>
      <c r="AI58" s="148"/>
    </row>
    <row r="59" spans="1:35" ht="16.5" customHeight="1">
      <c r="A59" s="218" t="s">
        <v>248</v>
      </c>
      <c r="B59" s="198"/>
      <c r="C59" s="8" t="s">
        <v>247</v>
      </c>
      <c r="F59" s="177">
        <v>10000</v>
      </c>
      <c r="G59" s="257" t="str">
        <f>Лист1!B37</f>
        <v>UA-P-2020-01-31-016193-a</v>
      </c>
      <c r="H59" s="257">
        <f t="shared" si="10"/>
        <v>10000</v>
      </c>
      <c r="I59" s="257"/>
      <c r="J59" s="257"/>
      <c r="K59" s="257"/>
      <c r="L59" s="282"/>
      <c r="M59" s="257"/>
      <c r="N59" s="257">
        <f aca="true" t="shared" si="12" ref="N59:N65">H59+M59</f>
        <v>10000</v>
      </c>
      <c r="O59" s="257">
        <f aca="true" t="shared" si="13" ref="O59:O65">N59-K59</f>
        <v>10000</v>
      </c>
      <c r="Q59" s="208"/>
      <c r="R59" s="210"/>
      <c r="S59" s="210"/>
      <c r="T59" s="210">
        <v>0</v>
      </c>
      <c r="U59" s="212">
        <f aca="true" t="shared" si="14" ref="U59:U72">SUM(R59:T59)</f>
        <v>0</v>
      </c>
      <c r="V59" s="210">
        <v>2500</v>
      </c>
      <c r="W59" s="210"/>
      <c r="X59" s="210"/>
      <c r="Y59" s="212">
        <f aca="true" t="shared" si="15" ref="Y59:Y72">SUM(V59:X59)</f>
        <v>2500</v>
      </c>
      <c r="Z59" s="210"/>
      <c r="AA59" s="210">
        <v>2500</v>
      </c>
      <c r="AB59" s="210">
        <v>2500</v>
      </c>
      <c r="AC59" s="212">
        <f aca="true" t="shared" si="16" ref="AC59:AC72">SUM(Z59:AB59)</f>
        <v>5000</v>
      </c>
      <c r="AD59" s="210">
        <v>2500</v>
      </c>
      <c r="AE59" s="210"/>
      <c r="AF59" s="210"/>
      <c r="AG59" s="212">
        <f aca="true" t="shared" si="17" ref="AG59:AG72">SUM(AD59:AF59)</f>
        <v>2500</v>
      </c>
      <c r="AH59" s="210">
        <f aca="true" t="shared" si="18" ref="AH59:AH72">U59+Y59+AC59+AG59</f>
        <v>10000</v>
      </c>
      <c r="AI59" s="148" t="s">
        <v>0</v>
      </c>
    </row>
    <row r="60" spans="1:35" ht="16.5" customHeight="1">
      <c r="A60" s="218" t="s">
        <v>250</v>
      </c>
      <c r="B60" s="198"/>
      <c r="C60" s="8" t="s">
        <v>249</v>
      </c>
      <c r="F60" s="177">
        <v>10000</v>
      </c>
      <c r="G60" s="257" t="str">
        <f>Лист1!B38</f>
        <v>UA-P-2020-01-31-016210-a</v>
      </c>
      <c r="H60" s="257">
        <f t="shared" si="10"/>
        <v>10000</v>
      </c>
      <c r="I60" s="257"/>
      <c r="J60" s="257"/>
      <c r="K60" s="257"/>
      <c r="L60" s="282"/>
      <c r="M60" s="257"/>
      <c r="N60" s="257">
        <f t="shared" si="12"/>
        <v>10000</v>
      </c>
      <c r="O60" s="257">
        <f t="shared" si="13"/>
        <v>10000</v>
      </c>
      <c r="Q60" s="208"/>
      <c r="R60" s="210"/>
      <c r="S60" s="210"/>
      <c r="T60" s="210">
        <v>2500</v>
      </c>
      <c r="U60" s="212">
        <f t="shared" si="14"/>
        <v>2500</v>
      </c>
      <c r="V60" s="210">
        <v>2500</v>
      </c>
      <c r="W60" s="210"/>
      <c r="X60" s="210"/>
      <c r="Y60" s="212">
        <f t="shared" si="15"/>
        <v>2500</v>
      </c>
      <c r="Z60" s="210"/>
      <c r="AA60" s="210"/>
      <c r="AB60" s="210">
        <v>2500</v>
      </c>
      <c r="AC60" s="212">
        <f t="shared" si="16"/>
        <v>2500</v>
      </c>
      <c r="AD60" s="210">
        <v>2500</v>
      </c>
      <c r="AE60" s="210"/>
      <c r="AF60" s="210"/>
      <c r="AG60" s="212">
        <f t="shared" si="17"/>
        <v>2500</v>
      </c>
      <c r="AH60" s="210">
        <f t="shared" si="18"/>
        <v>10000</v>
      </c>
      <c r="AI60" s="148" t="s">
        <v>0</v>
      </c>
    </row>
    <row r="61" spans="1:35" ht="16.5" customHeight="1">
      <c r="A61" s="218" t="s">
        <v>252</v>
      </c>
      <c r="B61" s="198"/>
      <c r="C61" s="8" t="s">
        <v>251</v>
      </c>
      <c r="F61" s="177">
        <v>10000</v>
      </c>
      <c r="G61" s="257" t="str">
        <f>Лист1!B39</f>
        <v>UA-P-2020-01-31-016215-a</v>
      </c>
      <c r="H61" s="257">
        <f t="shared" si="10"/>
        <v>10000</v>
      </c>
      <c r="I61" s="257"/>
      <c r="J61" s="257"/>
      <c r="K61" s="257"/>
      <c r="L61" s="282"/>
      <c r="M61" s="257"/>
      <c r="N61" s="257">
        <f t="shared" si="12"/>
        <v>10000</v>
      </c>
      <c r="O61" s="257">
        <f t="shared" si="13"/>
        <v>10000</v>
      </c>
      <c r="Q61" s="208"/>
      <c r="R61" s="210"/>
      <c r="S61" s="210"/>
      <c r="T61" s="210">
        <v>2500</v>
      </c>
      <c r="U61" s="212">
        <f t="shared" si="14"/>
        <v>2500</v>
      </c>
      <c r="V61" s="210">
        <v>2500</v>
      </c>
      <c r="W61" s="210"/>
      <c r="X61" s="210"/>
      <c r="Y61" s="212">
        <f t="shared" si="15"/>
        <v>2500</v>
      </c>
      <c r="Z61" s="210"/>
      <c r="AA61" s="210"/>
      <c r="AB61" s="210">
        <v>2500</v>
      </c>
      <c r="AC61" s="212">
        <f t="shared" si="16"/>
        <v>2500</v>
      </c>
      <c r="AD61" s="210">
        <v>2500</v>
      </c>
      <c r="AE61" s="210"/>
      <c r="AF61" s="210"/>
      <c r="AG61" s="212">
        <f t="shared" si="17"/>
        <v>2500</v>
      </c>
      <c r="AH61" s="210">
        <f t="shared" si="18"/>
        <v>10000</v>
      </c>
      <c r="AI61" s="148" t="s">
        <v>0</v>
      </c>
    </row>
    <row r="62" spans="1:35" ht="31.5">
      <c r="A62" s="218" t="s">
        <v>254</v>
      </c>
      <c r="B62" s="198"/>
      <c r="C62" s="8" t="s">
        <v>253</v>
      </c>
      <c r="F62" s="177">
        <v>10000</v>
      </c>
      <c r="G62" s="257" t="str">
        <f>Лист1!B40</f>
        <v>UA-P-2020-01-31-016169-a</v>
      </c>
      <c r="H62" s="257">
        <f t="shared" si="10"/>
        <v>10000</v>
      </c>
      <c r="I62" s="257"/>
      <c r="J62" s="257"/>
      <c r="K62" s="257"/>
      <c r="L62" s="282"/>
      <c r="M62" s="257"/>
      <c r="N62" s="257">
        <f t="shared" si="12"/>
        <v>10000</v>
      </c>
      <c r="O62" s="257">
        <f t="shared" si="13"/>
        <v>10000</v>
      </c>
      <c r="Q62" s="208"/>
      <c r="R62" s="210"/>
      <c r="S62" s="210"/>
      <c r="T62" s="210"/>
      <c r="U62" s="212">
        <f t="shared" si="14"/>
        <v>0</v>
      </c>
      <c r="V62" s="210"/>
      <c r="W62" s="210">
        <v>5000</v>
      </c>
      <c r="X62" s="210"/>
      <c r="Y62" s="212">
        <f t="shared" si="15"/>
        <v>5000</v>
      </c>
      <c r="Z62" s="210"/>
      <c r="AA62" s="210"/>
      <c r="AB62" s="210">
        <v>5000</v>
      </c>
      <c r="AC62" s="212">
        <f t="shared" si="16"/>
        <v>5000</v>
      </c>
      <c r="AD62" s="210"/>
      <c r="AE62" s="210"/>
      <c r="AF62" s="210"/>
      <c r="AG62" s="212">
        <f t="shared" si="17"/>
        <v>0</v>
      </c>
      <c r="AH62" s="210">
        <f t="shared" si="18"/>
        <v>10000</v>
      </c>
      <c r="AI62" s="148" t="s">
        <v>0</v>
      </c>
    </row>
    <row r="63" spans="1:35" ht="16.5" customHeight="1">
      <c r="A63" s="218" t="s">
        <v>332</v>
      </c>
      <c r="B63" s="198"/>
      <c r="C63" s="8" t="s">
        <v>255</v>
      </c>
      <c r="F63" s="177">
        <v>5000</v>
      </c>
      <c r="G63" s="257" t="str">
        <f>Лист1!B41</f>
        <v>UA-P-2020-01-31-016143-a</v>
      </c>
      <c r="H63" s="257">
        <f t="shared" si="10"/>
        <v>5000</v>
      </c>
      <c r="I63" s="257"/>
      <c r="J63" s="257"/>
      <c r="K63" s="257"/>
      <c r="L63" s="282"/>
      <c r="M63" s="257"/>
      <c r="N63" s="257">
        <f t="shared" si="12"/>
        <v>5000</v>
      </c>
      <c r="O63" s="257">
        <f t="shared" si="13"/>
        <v>5000</v>
      </c>
      <c r="Q63" s="208"/>
      <c r="R63" s="210"/>
      <c r="S63" s="210"/>
      <c r="T63" s="210"/>
      <c r="U63" s="212">
        <f t="shared" si="14"/>
        <v>0</v>
      </c>
      <c r="V63" s="210"/>
      <c r="W63" s="210"/>
      <c r="X63" s="210"/>
      <c r="Y63" s="212">
        <f t="shared" si="15"/>
        <v>0</v>
      </c>
      <c r="Z63" s="210"/>
      <c r="AA63" s="210"/>
      <c r="AB63" s="210"/>
      <c r="AC63" s="212">
        <f t="shared" si="16"/>
        <v>0</v>
      </c>
      <c r="AD63" s="210"/>
      <c r="AE63" s="210">
        <v>5000</v>
      </c>
      <c r="AF63" s="210"/>
      <c r="AG63" s="212">
        <f t="shared" si="17"/>
        <v>5000</v>
      </c>
      <c r="AH63" s="210">
        <f t="shared" si="18"/>
        <v>5000</v>
      </c>
      <c r="AI63" s="148" t="s">
        <v>0</v>
      </c>
    </row>
    <row r="64" spans="1:35" ht="16.5" customHeight="1">
      <c r="A64" s="236" t="s">
        <v>477</v>
      </c>
      <c r="B64" s="198"/>
      <c r="C64" s="8" t="s">
        <v>476</v>
      </c>
      <c r="F64" s="235">
        <v>2600</v>
      </c>
      <c r="G64" s="257" t="str">
        <f>Лист1!B43</f>
        <v>UA-P-2020-01-31-016185-a</v>
      </c>
      <c r="H64" s="257">
        <f t="shared" si="10"/>
        <v>2600</v>
      </c>
      <c r="I64" s="257"/>
      <c r="J64" s="257"/>
      <c r="K64" s="257"/>
      <c r="L64" s="282"/>
      <c r="M64" s="257"/>
      <c r="N64" s="257">
        <f t="shared" si="12"/>
        <v>2600</v>
      </c>
      <c r="O64" s="257">
        <f t="shared" si="13"/>
        <v>2600</v>
      </c>
      <c r="Q64" s="208"/>
      <c r="R64" s="210"/>
      <c r="S64" s="210">
        <v>2600</v>
      </c>
      <c r="T64" s="210"/>
      <c r="U64" s="212">
        <f t="shared" si="14"/>
        <v>2600</v>
      </c>
      <c r="V64" s="210"/>
      <c r="W64" s="210"/>
      <c r="X64" s="210"/>
      <c r="Y64" s="212">
        <f t="shared" si="15"/>
        <v>0</v>
      </c>
      <c r="Z64" s="210"/>
      <c r="AA64" s="210"/>
      <c r="AB64" s="210"/>
      <c r="AC64" s="212">
        <f t="shared" si="16"/>
        <v>0</v>
      </c>
      <c r="AD64" s="210"/>
      <c r="AE64" s="210"/>
      <c r="AF64" s="210"/>
      <c r="AG64" s="212">
        <f t="shared" si="17"/>
        <v>0</v>
      </c>
      <c r="AH64" s="210">
        <f t="shared" si="18"/>
        <v>2600</v>
      </c>
      <c r="AI64" s="148" t="s">
        <v>0</v>
      </c>
    </row>
    <row r="65" spans="1:35" ht="16.5" customHeight="1">
      <c r="A65" s="218" t="s">
        <v>268</v>
      </c>
      <c r="B65" s="198"/>
      <c r="C65" s="8" t="s">
        <v>219</v>
      </c>
      <c r="F65" s="221">
        <v>19000</v>
      </c>
      <c r="G65" s="257" t="str">
        <f>Лист1!B44</f>
        <v>UA-P-2020-01-31-016196-a</v>
      </c>
      <c r="H65" s="257">
        <f t="shared" si="10"/>
        <v>19000</v>
      </c>
      <c r="I65" s="257"/>
      <c r="J65" s="257"/>
      <c r="K65" s="257"/>
      <c r="L65" s="282"/>
      <c r="M65" s="257"/>
      <c r="N65" s="257">
        <f t="shared" si="12"/>
        <v>19000</v>
      </c>
      <c r="O65" s="257">
        <f t="shared" si="13"/>
        <v>19000</v>
      </c>
      <c r="P65" s="9" t="s">
        <v>473</v>
      </c>
      <c r="Q65" s="208"/>
      <c r="R65" s="210">
        <v>9200</v>
      </c>
      <c r="S65" s="210"/>
      <c r="T65" s="210"/>
      <c r="U65" s="212">
        <f t="shared" si="14"/>
        <v>9200</v>
      </c>
      <c r="V65" s="210"/>
      <c r="W65" s="210"/>
      <c r="X65" s="210"/>
      <c r="Y65" s="212">
        <f t="shared" si="15"/>
        <v>0</v>
      </c>
      <c r="Z65" s="210"/>
      <c r="AA65" s="210"/>
      <c r="AB65" s="210">
        <v>6300</v>
      </c>
      <c r="AC65" s="212">
        <f t="shared" si="16"/>
        <v>6300</v>
      </c>
      <c r="AD65" s="210">
        <v>3500</v>
      </c>
      <c r="AE65" s="210"/>
      <c r="AF65" s="210"/>
      <c r="AG65" s="212">
        <f t="shared" si="17"/>
        <v>3500</v>
      </c>
      <c r="AH65" s="210">
        <f t="shared" si="18"/>
        <v>19000</v>
      </c>
      <c r="AI65" s="230" t="s">
        <v>0</v>
      </c>
    </row>
    <row r="66" spans="1:35" ht="16.5" customHeight="1">
      <c r="A66" s="218" t="s">
        <v>257</v>
      </c>
      <c r="B66" s="198"/>
      <c r="C66" s="8" t="s">
        <v>256</v>
      </c>
      <c r="F66" s="221">
        <v>3500</v>
      </c>
      <c r="G66" s="257" t="str">
        <f>Лист1!B45</f>
        <v>UA-P-2020-01-31-016190-a</v>
      </c>
      <c r="H66" s="257">
        <f t="shared" si="10"/>
        <v>3500</v>
      </c>
      <c r="I66" s="257"/>
      <c r="J66" s="257"/>
      <c r="K66" s="257"/>
      <c r="L66" s="282"/>
      <c r="M66" s="257"/>
      <c r="N66" s="257">
        <f aca="true" t="shared" si="19" ref="N66:N82">H66+M66</f>
        <v>3500</v>
      </c>
      <c r="O66" s="257">
        <f aca="true" t="shared" si="20" ref="O66:O82">N66-K66</f>
        <v>3500</v>
      </c>
      <c r="Q66" s="208"/>
      <c r="R66" s="210"/>
      <c r="S66" s="210"/>
      <c r="T66" s="210">
        <v>1250</v>
      </c>
      <c r="U66" s="212">
        <f t="shared" si="14"/>
        <v>1250</v>
      </c>
      <c r="V66" s="210">
        <v>1000</v>
      </c>
      <c r="W66" s="210"/>
      <c r="X66" s="210"/>
      <c r="Y66" s="212">
        <f t="shared" si="15"/>
        <v>1000</v>
      </c>
      <c r="Z66" s="210"/>
      <c r="AA66" s="210">
        <v>1250</v>
      </c>
      <c r="AB66" s="210"/>
      <c r="AC66" s="212">
        <f t="shared" si="16"/>
        <v>1250</v>
      </c>
      <c r="AD66" s="210"/>
      <c r="AE66" s="210"/>
      <c r="AF66" s="210"/>
      <c r="AG66" s="212">
        <f t="shared" si="17"/>
        <v>0</v>
      </c>
      <c r="AH66" s="210">
        <f t="shared" si="18"/>
        <v>3500</v>
      </c>
      <c r="AI66" s="148" t="s">
        <v>0</v>
      </c>
    </row>
    <row r="67" spans="1:35" ht="16.5" customHeight="1">
      <c r="A67" s="218" t="s">
        <v>259</v>
      </c>
      <c r="B67" s="198"/>
      <c r="C67" s="8" t="s">
        <v>258</v>
      </c>
      <c r="F67" s="177">
        <v>7000</v>
      </c>
      <c r="G67" s="257" t="str">
        <f>Лист1!B46</f>
        <v>UA-P-2020-01-31-016165-a</v>
      </c>
      <c r="H67" s="257">
        <f t="shared" si="10"/>
        <v>7000</v>
      </c>
      <c r="I67" s="257"/>
      <c r="J67" s="257"/>
      <c r="K67" s="257"/>
      <c r="L67" s="282"/>
      <c r="M67" s="257"/>
      <c r="N67" s="257">
        <f t="shared" si="19"/>
        <v>7000</v>
      </c>
      <c r="O67" s="257">
        <f t="shared" si="20"/>
        <v>7000</v>
      </c>
      <c r="Q67" s="208"/>
      <c r="R67" s="210"/>
      <c r="S67" s="210"/>
      <c r="T67" s="210">
        <v>1500</v>
      </c>
      <c r="U67" s="212">
        <f t="shared" si="14"/>
        <v>1500</v>
      </c>
      <c r="V67" s="210">
        <v>2000</v>
      </c>
      <c r="W67" s="210"/>
      <c r="X67" s="210"/>
      <c r="Y67" s="212">
        <f t="shared" si="15"/>
        <v>2000</v>
      </c>
      <c r="Z67" s="210">
        <v>3500</v>
      </c>
      <c r="AA67" s="210"/>
      <c r="AB67" s="210"/>
      <c r="AC67" s="212">
        <f t="shared" si="16"/>
        <v>3500</v>
      </c>
      <c r="AD67" s="210"/>
      <c r="AE67" s="210"/>
      <c r="AF67" s="210"/>
      <c r="AG67" s="212">
        <f t="shared" si="17"/>
        <v>0</v>
      </c>
      <c r="AH67" s="210">
        <f t="shared" si="18"/>
        <v>7000</v>
      </c>
      <c r="AI67" s="148" t="s">
        <v>0</v>
      </c>
    </row>
    <row r="68" spans="1:35" ht="16.5" customHeight="1">
      <c r="A68" s="218" t="s">
        <v>284</v>
      </c>
      <c r="B68" s="198"/>
      <c r="C68" s="8" t="s">
        <v>260</v>
      </c>
      <c r="F68" s="177">
        <v>20000</v>
      </c>
      <c r="G68" s="257" t="str">
        <f>Лист1!B48</f>
        <v>UA-P-2020-01-31-016168-a</v>
      </c>
      <c r="H68" s="257">
        <f t="shared" si="10"/>
        <v>20000</v>
      </c>
      <c r="I68" s="257"/>
      <c r="J68" s="257"/>
      <c r="K68" s="257"/>
      <c r="L68" s="282"/>
      <c r="M68" s="257"/>
      <c r="N68" s="257">
        <f t="shared" si="19"/>
        <v>20000</v>
      </c>
      <c r="O68" s="257">
        <f t="shared" si="20"/>
        <v>20000</v>
      </c>
      <c r="Q68" s="208"/>
      <c r="R68" s="210">
        <v>1100</v>
      </c>
      <c r="S68" s="210">
        <v>1500</v>
      </c>
      <c r="T68" s="210">
        <v>1500</v>
      </c>
      <c r="U68" s="212">
        <f t="shared" si="14"/>
        <v>4100</v>
      </c>
      <c r="V68" s="210">
        <v>1700</v>
      </c>
      <c r="W68" s="210">
        <v>1900</v>
      </c>
      <c r="X68" s="210">
        <v>1700</v>
      </c>
      <c r="Y68" s="212">
        <f t="shared" si="15"/>
        <v>5300</v>
      </c>
      <c r="Z68" s="210">
        <v>1700</v>
      </c>
      <c r="AA68" s="210">
        <v>1900</v>
      </c>
      <c r="AB68" s="210">
        <v>1700</v>
      </c>
      <c r="AC68" s="212">
        <f t="shared" si="16"/>
        <v>5300</v>
      </c>
      <c r="AD68" s="210">
        <v>2000</v>
      </c>
      <c r="AE68" s="210">
        <v>1600</v>
      </c>
      <c r="AF68" s="210">
        <v>1700</v>
      </c>
      <c r="AG68" s="212">
        <f t="shared" si="17"/>
        <v>5300</v>
      </c>
      <c r="AH68" s="210">
        <f t="shared" si="18"/>
        <v>20000</v>
      </c>
      <c r="AI68" s="148" t="s">
        <v>0</v>
      </c>
    </row>
    <row r="69" spans="1:35" ht="16.5" customHeight="1">
      <c r="A69" s="218" t="s">
        <v>267</v>
      </c>
      <c r="B69" s="198"/>
      <c r="C69" s="8" t="s">
        <v>43</v>
      </c>
      <c r="F69" s="177">
        <v>45000</v>
      </c>
      <c r="G69" s="257" t="str">
        <f>Лист1!B49</f>
        <v>UA-P-2020-01-31-016186-a</v>
      </c>
      <c r="H69" s="257">
        <f t="shared" si="10"/>
        <v>45000</v>
      </c>
      <c r="I69" s="257"/>
      <c r="J69" s="257"/>
      <c r="K69" s="257"/>
      <c r="L69" s="282">
        <v>43894</v>
      </c>
      <c r="M69" s="257">
        <v>-7567</v>
      </c>
      <c r="N69" s="257">
        <f t="shared" si="19"/>
        <v>37433</v>
      </c>
      <c r="O69" s="257">
        <f t="shared" si="20"/>
        <v>37433</v>
      </c>
      <c r="Q69" s="208"/>
      <c r="R69" s="210"/>
      <c r="S69" s="210"/>
      <c r="T69" s="210"/>
      <c r="U69" s="212">
        <f t="shared" si="14"/>
        <v>0</v>
      </c>
      <c r="V69" s="210"/>
      <c r="W69" s="210"/>
      <c r="X69" s="210">
        <v>9850</v>
      </c>
      <c r="Y69" s="212">
        <f t="shared" si="15"/>
        <v>9850</v>
      </c>
      <c r="Z69" s="210">
        <v>15000</v>
      </c>
      <c r="AA69" s="210">
        <v>3800</v>
      </c>
      <c r="AB69" s="210"/>
      <c r="AC69" s="212">
        <f t="shared" si="16"/>
        <v>18800</v>
      </c>
      <c r="AD69" s="210">
        <v>16350</v>
      </c>
      <c r="AE69" s="210"/>
      <c r="AF69" s="210"/>
      <c r="AG69" s="212">
        <f t="shared" si="17"/>
        <v>16350</v>
      </c>
      <c r="AH69" s="210">
        <f t="shared" si="18"/>
        <v>45000</v>
      </c>
      <c r="AI69" s="148" t="s">
        <v>0</v>
      </c>
    </row>
    <row r="70" spans="1:35" ht="16.5" customHeight="1">
      <c r="A70" s="9" t="s">
        <v>21</v>
      </c>
      <c r="B70" s="198"/>
      <c r="C70" s="8" t="s">
        <v>20</v>
      </c>
      <c r="F70" s="235">
        <v>6000</v>
      </c>
      <c r="G70" s="257" t="str">
        <f>Лист1!B50</f>
        <v>UA-P-2020-01-31-016160-a</v>
      </c>
      <c r="H70" s="257">
        <f t="shared" si="10"/>
        <v>6000</v>
      </c>
      <c r="I70" s="257"/>
      <c r="J70" s="257"/>
      <c r="K70" s="257"/>
      <c r="L70" s="282"/>
      <c r="M70" s="257"/>
      <c r="N70" s="257">
        <f t="shared" si="19"/>
        <v>6000</v>
      </c>
      <c r="O70" s="257">
        <f t="shared" si="20"/>
        <v>6000</v>
      </c>
      <c r="Q70" s="208"/>
      <c r="R70" s="210">
        <v>2450</v>
      </c>
      <c r="S70" s="210">
        <v>3200</v>
      </c>
      <c r="T70" s="210">
        <v>350</v>
      </c>
      <c r="U70" s="212">
        <f t="shared" si="14"/>
        <v>6000</v>
      </c>
      <c r="V70" s="210"/>
      <c r="W70" s="210"/>
      <c r="X70" s="210"/>
      <c r="Y70" s="212">
        <f t="shared" si="15"/>
        <v>0</v>
      </c>
      <c r="Z70" s="210"/>
      <c r="AA70" s="210"/>
      <c r="AB70" s="210"/>
      <c r="AC70" s="212">
        <f t="shared" si="16"/>
        <v>0</v>
      </c>
      <c r="AD70" s="210"/>
      <c r="AE70" s="210"/>
      <c r="AF70" s="210"/>
      <c r="AG70" s="212">
        <f t="shared" si="17"/>
        <v>0</v>
      </c>
      <c r="AH70" s="210">
        <f t="shared" si="18"/>
        <v>6000</v>
      </c>
      <c r="AI70" s="148" t="s">
        <v>0</v>
      </c>
    </row>
    <row r="71" spans="1:35" ht="16.5" customHeight="1">
      <c r="A71" s="218" t="s">
        <v>19</v>
      </c>
      <c r="B71" s="198"/>
      <c r="C71" s="8" t="s">
        <v>18</v>
      </c>
      <c r="F71" s="177">
        <v>8500</v>
      </c>
      <c r="G71" s="257" t="str">
        <f>Лист1!B52</f>
        <v>UA-P-2020-01-31-016176-a</v>
      </c>
      <c r="H71" s="257">
        <f t="shared" si="10"/>
        <v>8500</v>
      </c>
      <c r="I71" s="257"/>
      <c r="J71" s="257"/>
      <c r="K71" s="257"/>
      <c r="L71" s="282"/>
      <c r="M71" s="257"/>
      <c r="N71" s="257">
        <f t="shared" si="19"/>
        <v>8500</v>
      </c>
      <c r="O71" s="257">
        <f t="shared" si="20"/>
        <v>8500</v>
      </c>
      <c r="Q71" s="208"/>
      <c r="R71" s="210">
        <v>700</v>
      </c>
      <c r="S71" s="210">
        <v>1000</v>
      </c>
      <c r="T71" s="210">
        <v>425</v>
      </c>
      <c r="U71" s="212">
        <f t="shared" si="14"/>
        <v>2125</v>
      </c>
      <c r="V71" s="210">
        <v>700</v>
      </c>
      <c r="W71" s="210">
        <v>715</v>
      </c>
      <c r="X71" s="210">
        <v>710</v>
      </c>
      <c r="Y71" s="212">
        <f t="shared" si="15"/>
        <v>2125</v>
      </c>
      <c r="Z71" s="210">
        <v>700</v>
      </c>
      <c r="AA71" s="210">
        <v>715</v>
      </c>
      <c r="AB71" s="210">
        <v>710</v>
      </c>
      <c r="AC71" s="212">
        <f t="shared" si="16"/>
        <v>2125</v>
      </c>
      <c r="AD71" s="210">
        <v>700</v>
      </c>
      <c r="AE71" s="210">
        <v>715</v>
      </c>
      <c r="AF71" s="210">
        <v>710</v>
      </c>
      <c r="AG71" s="212">
        <f t="shared" si="17"/>
        <v>2125</v>
      </c>
      <c r="AH71" s="210">
        <f t="shared" si="18"/>
        <v>8500</v>
      </c>
      <c r="AI71" s="148" t="s">
        <v>0</v>
      </c>
    </row>
    <row r="72" spans="1:35" ht="16.5" customHeight="1">
      <c r="A72" s="476" t="s">
        <v>262</v>
      </c>
      <c r="B72" s="198"/>
      <c r="C72" s="408" t="s">
        <v>261</v>
      </c>
      <c r="F72" s="177">
        <v>5000</v>
      </c>
      <c r="G72" s="257" t="str">
        <f>Лист1!B53</f>
        <v>UA-P-2020-01-31-016204-a</v>
      </c>
      <c r="H72" s="257">
        <f t="shared" si="10"/>
        <v>5000</v>
      </c>
      <c r="I72" s="257"/>
      <c r="J72" s="257"/>
      <c r="K72" s="257"/>
      <c r="L72" s="282"/>
      <c r="M72" s="257"/>
      <c r="N72" s="257">
        <f t="shared" si="19"/>
        <v>5000</v>
      </c>
      <c r="O72" s="257">
        <f>N72-K72-K73-K74</f>
        <v>4592</v>
      </c>
      <c r="Q72" s="208"/>
      <c r="R72" s="210"/>
      <c r="S72" s="210"/>
      <c r="T72" s="210"/>
      <c r="U72" s="212">
        <f t="shared" si="14"/>
        <v>0</v>
      </c>
      <c r="V72" s="210"/>
      <c r="W72" s="210">
        <v>2500</v>
      </c>
      <c r="X72" s="210"/>
      <c r="Y72" s="212">
        <f t="shared" si="15"/>
        <v>2500</v>
      </c>
      <c r="Z72" s="210"/>
      <c r="AA72" s="210">
        <v>2500</v>
      </c>
      <c r="AB72" s="210"/>
      <c r="AC72" s="212">
        <f t="shared" si="16"/>
        <v>2500</v>
      </c>
      <c r="AD72" s="210"/>
      <c r="AE72" s="210"/>
      <c r="AF72" s="210"/>
      <c r="AG72" s="212">
        <f t="shared" si="17"/>
        <v>0</v>
      </c>
      <c r="AH72" s="210">
        <f t="shared" si="18"/>
        <v>5000</v>
      </c>
      <c r="AI72" s="148" t="s">
        <v>0</v>
      </c>
    </row>
    <row r="73" spans="1:35" ht="16.5" customHeight="1">
      <c r="A73" s="477"/>
      <c r="B73" s="198"/>
      <c r="C73" s="406"/>
      <c r="F73" s="177"/>
      <c r="G73" s="257"/>
      <c r="H73" s="257"/>
      <c r="I73" s="257" t="s">
        <v>807</v>
      </c>
      <c r="J73" s="284" t="s">
        <v>808</v>
      </c>
      <c r="K73" s="284">
        <v>408</v>
      </c>
      <c r="L73" s="282"/>
      <c r="M73" s="257"/>
      <c r="N73" s="257"/>
      <c r="O73" s="257"/>
      <c r="Q73" s="208"/>
      <c r="R73" s="210"/>
      <c r="S73" s="210"/>
      <c r="T73" s="210"/>
      <c r="U73" s="212"/>
      <c r="V73" s="210"/>
      <c r="W73" s="210"/>
      <c r="X73" s="210"/>
      <c r="Y73" s="212"/>
      <c r="Z73" s="210"/>
      <c r="AA73" s="210"/>
      <c r="AB73" s="210"/>
      <c r="AC73" s="212"/>
      <c r="AD73" s="210"/>
      <c r="AE73" s="210"/>
      <c r="AF73" s="210"/>
      <c r="AG73" s="212"/>
      <c r="AH73" s="210"/>
      <c r="AI73" s="148"/>
    </row>
    <row r="74" spans="1:35" ht="16.5" customHeight="1">
      <c r="A74" s="478"/>
      <c r="B74" s="198"/>
      <c r="C74" s="407"/>
      <c r="F74" s="177"/>
      <c r="G74" s="257"/>
      <c r="H74" s="257"/>
      <c r="I74" s="257"/>
      <c r="J74" s="257"/>
      <c r="K74" s="257"/>
      <c r="L74" s="282"/>
      <c r="M74" s="257"/>
      <c r="N74" s="257"/>
      <c r="O74" s="257"/>
      <c r="Q74" s="208"/>
      <c r="R74" s="210"/>
      <c r="S74" s="210"/>
      <c r="T74" s="210"/>
      <c r="U74" s="212"/>
      <c r="V74" s="210"/>
      <c r="W74" s="210"/>
      <c r="X74" s="210"/>
      <c r="Y74" s="212"/>
      <c r="Z74" s="210"/>
      <c r="AA74" s="210"/>
      <c r="AB74" s="210"/>
      <c r="AC74" s="212"/>
      <c r="AD74" s="210"/>
      <c r="AE74" s="210"/>
      <c r="AF74" s="210"/>
      <c r="AG74" s="212"/>
      <c r="AH74" s="210"/>
      <c r="AI74" s="148"/>
    </row>
    <row r="75" spans="1:35" ht="16.5" customHeight="1">
      <c r="A75" s="218" t="s">
        <v>264</v>
      </c>
      <c r="B75" s="198"/>
      <c r="C75" s="8" t="s">
        <v>263</v>
      </c>
      <c r="F75" s="177">
        <v>2000</v>
      </c>
      <c r="G75" s="257" t="str">
        <f>Лист1!B54</f>
        <v>UA-P-2020-01-31-016157-a</v>
      </c>
      <c r="H75" s="257">
        <f t="shared" si="10"/>
        <v>2000</v>
      </c>
      <c r="I75" s="257"/>
      <c r="J75" s="257"/>
      <c r="K75" s="257"/>
      <c r="L75" s="282"/>
      <c r="M75" s="257"/>
      <c r="N75" s="257">
        <f t="shared" si="19"/>
        <v>2000</v>
      </c>
      <c r="O75" s="257">
        <f t="shared" si="20"/>
        <v>2000</v>
      </c>
      <c r="Q75" s="208"/>
      <c r="R75" s="210"/>
      <c r="S75" s="210"/>
      <c r="T75" s="210"/>
      <c r="U75" s="212">
        <f>SUM(R75:T75)</f>
        <v>0</v>
      </c>
      <c r="V75" s="210">
        <v>1000</v>
      </c>
      <c r="W75" s="210"/>
      <c r="X75" s="210"/>
      <c r="Y75" s="212">
        <f>SUM(V75:X75)</f>
        <v>1000</v>
      </c>
      <c r="Z75" s="210"/>
      <c r="AA75" s="210"/>
      <c r="AB75" s="210">
        <v>1000</v>
      </c>
      <c r="AC75" s="212">
        <f>SUM(Z75:AB75)</f>
        <v>1000</v>
      </c>
      <c r="AD75" s="210"/>
      <c r="AE75" s="210"/>
      <c r="AF75" s="210"/>
      <c r="AG75" s="212">
        <f>SUM(AD75:AF75)</f>
        <v>0</v>
      </c>
      <c r="AH75" s="210">
        <f>U75+Y75+AC75+AG75</f>
        <v>2000</v>
      </c>
      <c r="AI75" s="148" t="s">
        <v>0</v>
      </c>
    </row>
    <row r="76" spans="1:35" ht="16.5" customHeight="1">
      <c r="A76" s="218" t="s">
        <v>266</v>
      </c>
      <c r="B76" s="198"/>
      <c r="C76" s="8" t="s">
        <v>265</v>
      </c>
      <c r="F76" s="177">
        <v>1000</v>
      </c>
      <c r="G76" s="257" t="str">
        <f>Лист1!B55</f>
        <v>UA-P-2020-01-31-016191-a</v>
      </c>
      <c r="H76" s="257">
        <f t="shared" si="10"/>
        <v>1000</v>
      </c>
      <c r="I76" s="257"/>
      <c r="J76" s="257"/>
      <c r="K76" s="257"/>
      <c r="L76" s="282"/>
      <c r="M76" s="257"/>
      <c r="N76" s="257">
        <f t="shared" si="19"/>
        <v>1000</v>
      </c>
      <c r="O76" s="257">
        <f t="shared" si="20"/>
        <v>1000</v>
      </c>
      <c r="Q76" s="208"/>
      <c r="R76" s="210"/>
      <c r="S76" s="210"/>
      <c r="T76" s="210"/>
      <c r="U76" s="212">
        <f>SUM(R76:T76)</f>
        <v>0</v>
      </c>
      <c r="V76" s="210"/>
      <c r="W76" s="210"/>
      <c r="X76" s="210"/>
      <c r="Y76" s="212">
        <f>SUM(V76:X76)</f>
        <v>0</v>
      </c>
      <c r="Z76" s="210">
        <v>1000</v>
      </c>
      <c r="AA76" s="210"/>
      <c r="AB76" s="210"/>
      <c r="AC76" s="212">
        <f>SUM(Z76:AB76)</f>
        <v>1000</v>
      </c>
      <c r="AD76" s="210"/>
      <c r="AE76" s="210"/>
      <c r="AF76" s="210"/>
      <c r="AG76" s="212">
        <f>SUM(AD76:AF76)</f>
        <v>0</v>
      </c>
      <c r="AH76" s="210">
        <f>U76+Y76+AC76+AG76</f>
        <v>1000</v>
      </c>
      <c r="AI76" s="148" t="s">
        <v>0</v>
      </c>
    </row>
    <row r="77" spans="1:35" ht="16.5" customHeight="1">
      <c r="A77" s="476" t="s">
        <v>358</v>
      </c>
      <c r="B77" s="198"/>
      <c r="C77" s="408" t="s">
        <v>359</v>
      </c>
      <c r="F77" s="177">
        <v>3500</v>
      </c>
      <c r="G77" s="257" t="str">
        <f>Лист1!B36</f>
        <v>UA-P-2020-01-31-016202-a</v>
      </c>
      <c r="H77" s="257">
        <f t="shared" si="10"/>
        <v>3500</v>
      </c>
      <c r="I77" s="257"/>
      <c r="J77" s="257"/>
      <c r="K77" s="257"/>
      <c r="L77" s="282"/>
      <c r="M77" s="257"/>
      <c r="N77" s="257">
        <f t="shared" si="19"/>
        <v>3500</v>
      </c>
      <c r="O77" s="257">
        <f>N77-K77-K78-K79</f>
        <v>1800</v>
      </c>
      <c r="Q77" s="208"/>
      <c r="R77" s="210"/>
      <c r="S77" s="210"/>
      <c r="T77" s="210">
        <v>1700</v>
      </c>
      <c r="U77" s="212">
        <f>SUM(R77:T77)</f>
        <v>1700</v>
      </c>
      <c r="V77" s="210">
        <v>1500</v>
      </c>
      <c r="W77" s="210">
        <v>300</v>
      </c>
      <c r="X77" s="210"/>
      <c r="Y77" s="212">
        <f>SUM(V77:X77)</f>
        <v>1800</v>
      </c>
      <c r="Z77" s="210"/>
      <c r="AA77" s="210"/>
      <c r="AB77" s="210"/>
      <c r="AC77" s="212">
        <f>SUM(Z77:AB77)</f>
        <v>0</v>
      </c>
      <c r="AD77" s="210"/>
      <c r="AE77" s="210"/>
      <c r="AF77" s="210"/>
      <c r="AG77" s="212">
        <f>SUM(AD77:AF77)</f>
        <v>0</v>
      </c>
      <c r="AH77" s="210">
        <f>U77+Y77+AC77+AG77</f>
        <v>3500</v>
      </c>
      <c r="AI77" s="148" t="s">
        <v>0</v>
      </c>
    </row>
    <row r="78" spans="1:35" ht="16.5" customHeight="1">
      <c r="A78" s="477"/>
      <c r="B78" s="198"/>
      <c r="C78" s="406"/>
      <c r="F78" s="177"/>
      <c r="G78" s="257"/>
      <c r="H78" s="257"/>
      <c r="I78" s="257" t="s">
        <v>810</v>
      </c>
      <c r="J78" s="284" t="s">
        <v>809</v>
      </c>
      <c r="K78" s="284">
        <v>1700</v>
      </c>
      <c r="L78" s="282"/>
      <c r="M78" s="257"/>
      <c r="N78" s="257"/>
      <c r="O78" s="257"/>
      <c r="Q78" s="208"/>
      <c r="R78" s="210"/>
      <c r="S78" s="210"/>
      <c r="T78" s="210"/>
      <c r="U78" s="212"/>
      <c r="V78" s="210"/>
      <c r="W78" s="210"/>
      <c r="X78" s="210"/>
      <c r="Y78" s="212"/>
      <c r="Z78" s="210"/>
      <c r="AA78" s="210"/>
      <c r="AB78" s="210"/>
      <c r="AC78" s="212"/>
      <c r="AD78" s="210"/>
      <c r="AE78" s="210"/>
      <c r="AF78" s="210"/>
      <c r="AG78" s="212"/>
      <c r="AH78" s="210"/>
      <c r="AI78" s="148"/>
    </row>
    <row r="79" spans="1:35" ht="16.5" customHeight="1">
      <c r="A79" s="478"/>
      <c r="B79" s="198"/>
      <c r="C79" s="407"/>
      <c r="F79" s="177"/>
      <c r="G79" s="257"/>
      <c r="H79" s="257"/>
      <c r="I79" s="257"/>
      <c r="J79" s="257"/>
      <c r="K79" s="257"/>
      <c r="L79" s="282"/>
      <c r="M79" s="257"/>
      <c r="N79" s="257"/>
      <c r="O79" s="257"/>
      <c r="Q79" s="208"/>
      <c r="R79" s="210"/>
      <c r="S79" s="210"/>
      <c r="T79" s="210"/>
      <c r="U79" s="212"/>
      <c r="V79" s="210"/>
      <c r="W79" s="210"/>
      <c r="X79" s="210"/>
      <c r="Y79" s="212"/>
      <c r="Z79" s="210"/>
      <c r="AA79" s="210"/>
      <c r="AB79" s="210"/>
      <c r="AC79" s="212"/>
      <c r="AD79" s="210"/>
      <c r="AE79" s="210"/>
      <c r="AF79" s="210"/>
      <c r="AG79" s="212"/>
      <c r="AH79" s="210"/>
      <c r="AI79" s="148"/>
    </row>
    <row r="80" spans="1:35" ht="16.5" customHeight="1">
      <c r="A80" s="218" t="s">
        <v>373</v>
      </c>
      <c r="B80" s="198"/>
      <c r="C80" s="8" t="s">
        <v>374</v>
      </c>
      <c r="F80" s="177">
        <v>5000</v>
      </c>
      <c r="G80" s="257" t="str">
        <f>Лист1!B6</f>
        <v>UA-P-2020-01-31-016187-a</v>
      </c>
      <c r="H80" s="257">
        <f t="shared" si="10"/>
        <v>5000</v>
      </c>
      <c r="I80" s="257"/>
      <c r="J80" s="257"/>
      <c r="K80" s="257"/>
      <c r="L80" s="282"/>
      <c r="M80" s="257"/>
      <c r="N80" s="257">
        <f t="shared" si="19"/>
        <v>5000</v>
      </c>
      <c r="O80" s="257">
        <f t="shared" si="20"/>
        <v>5000</v>
      </c>
      <c r="Q80" s="208"/>
      <c r="R80" s="210"/>
      <c r="S80" s="210"/>
      <c r="T80" s="210">
        <v>2500</v>
      </c>
      <c r="U80" s="212">
        <f>SUM(R80:T80)</f>
        <v>2500</v>
      </c>
      <c r="V80" s="210"/>
      <c r="W80" s="210"/>
      <c r="X80" s="210"/>
      <c r="Y80" s="212">
        <f>SUM(V80:X80)</f>
        <v>0</v>
      </c>
      <c r="Z80" s="210">
        <v>2500</v>
      </c>
      <c r="AA80" s="210"/>
      <c r="AB80" s="210"/>
      <c r="AC80" s="212">
        <f>SUM(Z80:AB80)</f>
        <v>2500</v>
      </c>
      <c r="AD80" s="210"/>
      <c r="AE80" s="210"/>
      <c r="AF80" s="210"/>
      <c r="AG80" s="212">
        <f>SUM(AD80:AF80)</f>
        <v>0</v>
      </c>
      <c r="AH80" s="210">
        <f>U80+Y80+AC80+AG80</f>
        <v>5000</v>
      </c>
      <c r="AI80" s="148" t="s">
        <v>0</v>
      </c>
    </row>
    <row r="81" spans="1:35" ht="16.5" customHeight="1">
      <c r="A81" s="218" t="s">
        <v>375</v>
      </c>
      <c r="B81" s="198"/>
      <c r="C81" s="8" t="s">
        <v>376</v>
      </c>
      <c r="F81" s="177">
        <v>1000</v>
      </c>
      <c r="G81" s="257" t="str">
        <f>Лист1!B42</f>
        <v>UA-P-2020-01-31-016172-a</v>
      </c>
      <c r="H81" s="257">
        <f t="shared" si="10"/>
        <v>1000</v>
      </c>
      <c r="I81" s="257"/>
      <c r="J81" s="257"/>
      <c r="K81" s="257"/>
      <c r="L81" s="282"/>
      <c r="M81" s="257"/>
      <c r="N81" s="257">
        <f t="shared" si="19"/>
        <v>1000</v>
      </c>
      <c r="O81" s="257">
        <f t="shared" si="20"/>
        <v>1000</v>
      </c>
      <c r="Q81" s="208"/>
      <c r="R81" s="210"/>
      <c r="S81" s="210"/>
      <c r="T81" s="210"/>
      <c r="U81" s="212">
        <f>SUM(R81:T81)</f>
        <v>0</v>
      </c>
      <c r="V81" s="210"/>
      <c r="W81" s="210"/>
      <c r="X81" s="210"/>
      <c r="Y81" s="212">
        <f>SUM(V81:X81)</f>
        <v>0</v>
      </c>
      <c r="Z81" s="210"/>
      <c r="AA81" s="210"/>
      <c r="AB81" s="210"/>
      <c r="AC81" s="212">
        <f>SUM(Z81:AB81)</f>
        <v>0</v>
      </c>
      <c r="AD81" s="210">
        <v>1000</v>
      </c>
      <c r="AE81" s="210"/>
      <c r="AF81" s="210"/>
      <c r="AG81" s="212">
        <f>SUM(AD81:AF81)</f>
        <v>1000</v>
      </c>
      <c r="AH81" s="210">
        <f>U81+Y81+AC81+AG81</f>
        <v>1000</v>
      </c>
      <c r="AI81" s="148" t="s">
        <v>0</v>
      </c>
    </row>
    <row r="82" spans="1:35" ht="16.5" customHeight="1">
      <c r="A82" s="218" t="s">
        <v>381</v>
      </c>
      <c r="B82" s="199"/>
      <c r="C82" s="8" t="s">
        <v>382</v>
      </c>
      <c r="F82" s="177">
        <v>2000</v>
      </c>
      <c r="G82" s="257" t="str">
        <f>Лист1!B51</f>
        <v>UA-P-2020-01-31-016208-a</v>
      </c>
      <c r="H82" s="257">
        <f t="shared" si="10"/>
        <v>2000</v>
      </c>
      <c r="I82" s="257"/>
      <c r="J82" s="257"/>
      <c r="K82" s="257"/>
      <c r="L82" s="282"/>
      <c r="M82" s="257"/>
      <c r="N82" s="257">
        <f t="shared" si="19"/>
        <v>2000</v>
      </c>
      <c r="O82" s="257">
        <f t="shared" si="20"/>
        <v>2000</v>
      </c>
      <c r="Q82" s="208"/>
      <c r="R82" s="210"/>
      <c r="S82" s="210"/>
      <c r="T82" s="210">
        <v>500</v>
      </c>
      <c r="U82" s="212">
        <f>SUM(R82:T82)</f>
        <v>500</v>
      </c>
      <c r="V82" s="210"/>
      <c r="W82" s="210"/>
      <c r="X82" s="210">
        <v>500</v>
      </c>
      <c r="Y82" s="212">
        <f>SUM(V82:X82)</f>
        <v>500</v>
      </c>
      <c r="Z82" s="210"/>
      <c r="AA82" s="210"/>
      <c r="AB82" s="210">
        <v>500</v>
      </c>
      <c r="AC82" s="212">
        <f>SUM(Z82:AB82)</f>
        <v>500</v>
      </c>
      <c r="AD82" s="210"/>
      <c r="AE82" s="210">
        <v>500</v>
      </c>
      <c r="AF82" s="210"/>
      <c r="AG82" s="212">
        <f>SUM(AD82:AF82)</f>
        <v>500</v>
      </c>
      <c r="AH82" s="210">
        <f>U82+Y82+AC82+AG82</f>
        <v>2000</v>
      </c>
      <c r="AI82" s="148" t="s">
        <v>0</v>
      </c>
    </row>
    <row r="83" spans="1:35" s="215" customFormat="1" ht="16.5" customHeight="1">
      <c r="A83" s="213"/>
      <c r="B83" s="213"/>
      <c r="C83" s="214"/>
      <c r="F83" s="173">
        <f>SUM(F14:F82)</f>
        <v>490000</v>
      </c>
      <c r="G83" s="258"/>
      <c r="H83" s="258"/>
      <c r="I83" s="258"/>
      <c r="J83" s="258"/>
      <c r="K83" s="258"/>
      <c r="L83" s="282"/>
      <c r="M83" s="258"/>
      <c r="N83" s="257"/>
      <c r="O83" s="257"/>
      <c r="R83" s="216">
        <f>SUM(R14:R82)</f>
        <v>27950</v>
      </c>
      <c r="S83" s="216">
        <f>SUM(S14:S82)</f>
        <v>59275</v>
      </c>
      <c r="T83" s="216">
        <f>SUM(T14:T82)</f>
        <v>37775</v>
      </c>
      <c r="U83" s="216">
        <f>SUM(R83:T83)</f>
        <v>125000</v>
      </c>
      <c r="V83" s="216">
        <f>SUM(V14:V82)</f>
        <v>47750</v>
      </c>
      <c r="W83" s="216">
        <f>SUM(W14:W82)</f>
        <v>36665</v>
      </c>
      <c r="X83" s="216">
        <f>SUM(X14:X82)</f>
        <v>30585</v>
      </c>
      <c r="Y83" s="216">
        <f>SUM(V83:X83)</f>
        <v>115000</v>
      </c>
      <c r="Z83" s="216">
        <f>SUM(Z14:Z82)</f>
        <v>42575</v>
      </c>
      <c r="AA83" s="216">
        <f>SUM(AA14:AA82)</f>
        <v>32515</v>
      </c>
      <c r="AB83" s="216">
        <f>SUM(AB14:AB82)</f>
        <v>49910</v>
      </c>
      <c r="AC83" s="216">
        <f>SUM(Z83:AB83)</f>
        <v>125000</v>
      </c>
      <c r="AD83" s="216">
        <f>SUM(AD14:AD82)</f>
        <v>68875</v>
      </c>
      <c r="AE83" s="216">
        <f>SUM(AE14:AE82)</f>
        <v>30815</v>
      </c>
      <c r="AF83" s="216">
        <f>SUM(AF14:AF82)</f>
        <v>17310</v>
      </c>
      <c r="AG83" s="216">
        <f>SUM(AD83:AF83)</f>
        <v>117000</v>
      </c>
      <c r="AH83" s="216">
        <f>U83+Y83+AC83+AG83</f>
        <v>482000</v>
      </c>
      <c r="AI83" s="217"/>
    </row>
    <row r="84" spans="1:35" ht="16.5" customHeight="1">
      <c r="A84" s="476" t="s">
        <v>270</v>
      </c>
      <c r="B84" s="240">
        <v>141</v>
      </c>
      <c r="C84" s="408" t="s">
        <v>269</v>
      </c>
      <c r="F84" s="177">
        <v>30000</v>
      </c>
      <c r="G84" s="257" t="str">
        <f>Лист1!B8</f>
        <v>UA-P-2020-01-31-016223-a</v>
      </c>
      <c r="H84" s="257">
        <f>F84</f>
        <v>30000</v>
      </c>
      <c r="I84" s="257"/>
      <c r="J84" s="257"/>
      <c r="K84" s="257"/>
      <c r="L84" s="282"/>
      <c r="M84" s="257"/>
      <c r="N84" s="257">
        <f>H84+M84</f>
        <v>30000</v>
      </c>
      <c r="O84" s="257">
        <f>N84-K84-K85-K86-K87-K88-K89-K90</f>
        <v>13047.52</v>
      </c>
      <c r="Q84" s="208"/>
      <c r="R84" s="210">
        <v>2500</v>
      </c>
      <c r="S84" s="210">
        <v>2500</v>
      </c>
      <c r="T84" s="210">
        <v>2500</v>
      </c>
      <c r="U84" s="212">
        <f>SUM(R84:T84)</f>
        <v>7500</v>
      </c>
      <c r="V84" s="210">
        <v>2500</v>
      </c>
      <c r="W84" s="210">
        <v>2500</v>
      </c>
      <c r="X84" s="210">
        <v>2500</v>
      </c>
      <c r="Y84" s="212">
        <f>SUM(V84:X84)</f>
        <v>7500</v>
      </c>
      <c r="Z84" s="210">
        <v>2500</v>
      </c>
      <c r="AA84" s="210">
        <v>2500</v>
      </c>
      <c r="AB84" s="210">
        <v>2500</v>
      </c>
      <c r="AC84" s="212">
        <f>SUM(Z84:AB84)</f>
        <v>7500</v>
      </c>
      <c r="AD84" s="210">
        <v>2500</v>
      </c>
      <c r="AE84" s="210">
        <v>2500</v>
      </c>
      <c r="AF84" s="210">
        <v>2500</v>
      </c>
      <c r="AG84" s="212">
        <f>SUM(AD84:AF84)</f>
        <v>7500</v>
      </c>
      <c r="AH84" s="210">
        <f>U84+Y84+AC84+AG84</f>
        <v>30000</v>
      </c>
      <c r="AI84" s="148" t="s">
        <v>0</v>
      </c>
    </row>
    <row r="85" spans="1:35" ht="16.5" customHeight="1">
      <c r="A85" s="477"/>
      <c r="B85" s="243"/>
      <c r="C85" s="406"/>
      <c r="F85" s="177"/>
      <c r="G85" s="295" t="s">
        <v>813</v>
      </c>
      <c r="H85" s="257"/>
      <c r="I85" s="257" t="s">
        <v>811</v>
      </c>
      <c r="J85" s="284" t="s">
        <v>812</v>
      </c>
      <c r="K85" s="284">
        <v>10600</v>
      </c>
      <c r="L85" s="282"/>
      <c r="M85" s="257"/>
      <c r="N85" s="257"/>
      <c r="O85" s="257"/>
      <c r="Q85" s="208"/>
      <c r="R85" s="210"/>
      <c r="S85" s="210"/>
      <c r="T85" s="210"/>
      <c r="U85" s="212"/>
      <c r="V85" s="210"/>
      <c r="W85" s="210"/>
      <c r="X85" s="210"/>
      <c r="Y85" s="212"/>
      <c r="Z85" s="210"/>
      <c r="AA85" s="210"/>
      <c r="AB85" s="210"/>
      <c r="AC85" s="212"/>
      <c r="AD85" s="210"/>
      <c r="AE85" s="210"/>
      <c r="AF85" s="210"/>
      <c r="AG85" s="212"/>
      <c r="AH85" s="210"/>
      <c r="AI85" s="148"/>
    </row>
    <row r="86" spans="1:35" ht="16.5" customHeight="1">
      <c r="A86" s="477"/>
      <c r="B86" s="243"/>
      <c r="C86" s="406"/>
      <c r="F86" s="177"/>
      <c r="G86" s="295" t="s">
        <v>813</v>
      </c>
      <c r="H86" s="257"/>
      <c r="I86" s="257" t="s">
        <v>814</v>
      </c>
      <c r="J86" s="284" t="s">
        <v>815</v>
      </c>
      <c r="K86" s="284">
        <v>389.48</v>
      </c>
      <c r="L86" s="282"/>
      <c r="M86" s="257"/>
      <c r="N86" s="257"/>
      <c r="O86" s="257"/>
      <c r="Q86" s="208"/>
      <c r="R86" s="210"/>
      <c r="S86" s="210"/>
      <c r="T86" s="210"/>
      <c r="U86" s="212"/>
      <c r="V86" s="210"/>
      <c r="W86" s="210"/>
      <c r="X86" s="210"/>
      <c r="Y86" s="212"/>
      <c r="Z86" s="210"/>
      <c r="AA86" s="210"/>
      <c r="AB86" s="210"/>
      <c r="AC86" s="212"/>
      <c r="AD86" s="210"/>
      <c r="AE86" s="210"/>
      <c r="AF86" s="210"/>
      <c r="AG86" s="212"/>
      <c r="AH86" s="210"/>
      <c r="AI86" s="148"/>
    </row>
    <row r="87" spans="1:35" ht="16.5" customHeight="1">
      <c r="A87" s="477"/>
      <c r="B87" s="243"/>
      <c r="C87" s="406"/>
      <c r="F87" s="177"/>
      <c r="G87" s="295" t="s">
        <v>813</v>
      </c>
      <c r="H87" s="257"/>
      <c r="I87" s="257" t="s">
        <v>816</v>
      </c>
      <c r="J87" s="284" t="s">
        <v>817</v>
      </c>
      <c r="K87" s="284">
        <v>4655</v>
      </c>
      <c r="L87" s="282"/>
      <c r="M87" s="257"/>
      <c r="N87" s="257"/>
      <c r="O87" s="257"/>
      <c r="Q87" s="208"/>
      <c r="R87" s="210"/>
      <c r="S87" s="210"/>
      <c r="T87" s="210"/>
      <c r="U87" s="212"/>
      <c r="V87" s="210"/>
      <c r="W87" s="210"/>
      <c r="X87" s="210"/>
      <c r="Y87" s="212"/>
      <c r="Z87" s="210"/>
      <c r="AA87" s="210"/>
      <c r="AB87" s="210"/>
      <c r="AC87" s="212"/>
      <c r="AD87" s="210"/>
      <c r="AE87" s="210"/>
      <c r="AF87" s="210"/>
      <c r="AG87" s="212"/>
      <c r="AH87" s="210"/>
      <c r="AI87" s="148"/>
    </row>
    <row r="88" spans="1:35" ht="16.5" customHeight="1">
      <c r="A88" s="477"/>
      <c r="B88" s="243"/>
      <c r="C88" s="406"/>
      <c r="F88" s="177"/>
      <c r="G88" s="295" t="s">
        <v>813</v>
      </c>
      <c r="H88" s="257"/>
      <c r="I88" s="257" t="s">
        <v>818</v>
      </c>
      <c r="J88" s="284" t="s">
        <v>819</v>
      </c>
      <c r="K88" s="284">
        <v>1308</v>
      </c>
      <c r="L88" s="282"/>
      <c r="M88" s="257"/>
      <c r="N88" s="257"/>
      <c r="O88" s="257"/>
      <c r="Q88" s="208"/>
      <c r="R88" s="210"/>
      <c r="S88" s="210"/>
      <c r="T88" s="210"/>
      <c r="U88" s="212"/>
      <c r="V88" s="210"/>
      <c r="W88" s="210"/>
      <c r="X88" s="210"/>
      <c r="Y88" s="212"/>
      <c r="Z88" s="210"/>
      <c r="AA88" s="210"/>
      <c r="AB88" s="210"/>
      <c r="AC88" s="212"/>
      <c r="AD88" s="210"/>
      <c r="AE88" s="210"/>
      <c r="AF88" s="210"/>
      <c r="AG88" s="212"/>
      <c r="AH88" s="210"/>
      <c r="AI88" s="148"/>
    </row>
    <row r="89" spans="1:35" ht="16.5" customHeight="1">
      <c r="A89" s="477"/>
      <c r="B89" s="243"/>
      <c r="C89" s="406"/>
      <c r="F89" s="177"/>
      <c r="G89" s="295" t="s">
        <v>813</v>
      </c>
      <c r="H89" s="257"/>
      <c r="I89" s="257"/>
      <c r="J89" s="257"/>
      <c r="K89" s="257"/>
      <c r="L89" s="282"/>
      <c r="M89" s="257"/>
      <c r="N89" s="257"/>
      <c r="O89" s="257"/>
      <c r="Q89" s="208"/>
      <c r="R89" s="210"/>
      <c r="S89" s="210"/>
      <c r="T89" s="210"/>
      <c r="U89" s="212"/>
      <c r="V89" s="210"/>
      <c r="W89" s="210"/>
      <c r="X89" s="210"/>
      <c r="Y89" s="212"/>
      <c r="Z89" s="210"/>
      <c r="AA89" s="210"/>
      <c r="AB89" s="210"/>
      <c r="AC89" s="212"/>
      <c r="AD89" s="210"/>
      <c r="AE89" s="210"/>
      <c r="AF89" s="210"/>
      <c r="AG89" s="212"/>
      <c r="AH89" s="210"/>
      <c r="AI89" s="148"/>
    </row>
    <row r="90" spans="1:35" ht="16.5" customHeight="1">
      <c r="A90" s="478"/>
      <c r="B90" s="243"/>
      <c r="C90" s="407"/>
      <c r="F90" s="177"/>
      <c r="G90" s="295" t="s">
        <v>813</v>
      </c>
      <c r="H90" s="257"/>
      <c r="I90" s="257"/>
      <c r="J90" s="257"/>
      <c r="K90" s="257"/>
      <c r="L90" s="282"/>
      <c r="M90" s="257"/>
      <c r="N90" s="257"/>
      <c r="O90" s="257"/>
      <c r="Q90" s="208"/>
      <c r="R90" s="210"/>
      <c r="S90" s="210"/>
      <c r="T90" s="210"/>
      <c r="U90" s="212"/>
      <c r="V90" s="210"/>
      <c r="W90" s="210"/>
      <c r="X90" s="210"/>
      <c r="Y90" s="212"/>
      <c r="Z90" s="210"/>
      <c r="AA90" s="210"/>
      <c r="AB90" s="210"/>
      <c r="AC90" s="212"/>
      <c r="AD90" s="210"/>
      <c r="AE90" s="210"/>
      <c r="AF90" s="210"/>
      <c r="AG90" s="212"/>
      <c r="AH90" s="210"/>
      <c r="AI90" s="148"/>
    </row>
    <row r="91" spans="1:35" ht="16.5" customHeight="1">
      <c r="A91" s="476" t="s">
        <v>44</v>
      </c>
      <c r="B91" s="239"/>
      <c r="C91" s="408" t="s">
        <v>45</v>
      </c>
      <c r="F91" s="177">
        <v>20000</v>
      </c>
      <c r="G91" s="257" t="str">
        <f>Лист1!B17</f>
        <v>UA-P-2020-01-31-016153-a</v>
      </c>
      <c r="H91" s="257">
        <f>F91</f>
        <v>20000</v>
      </c>
      <c r="I91" s="257"/>
      <c r="J91" s="257"/>
      <c r="K91" s="257"/>
      <c r="L91" s="282"/>
      <c r="M91" s="257"/>
      <c r="N91" s="257">
        <f>H91+M91</f>
        <v>20000</v>
      </c>
      <c r="O91" s="257">
        <f>N91-K91</f>
        <v>20000</v>
      </c>
      <c r="Q91" s="208"/>
      <c r="R91" s="210"/>
      <c r="S91" s="210">
        <v>2000</v>
      </c>
      <c r="T91" s="210">
        <v>2000</v>
      </c>
      <c r="U91" s="212">
        <f>SUM(R91:T91)</f>
        <v>4000</v>
      </c>
      <c r="V91" s="210">
        <v>2000</v>
      </c>
      <c r="W91" s="210">
        <v>2000</v>
      </c>
      <c r="X91" s="210">
        <v>0</v>
      </c>
      <c r="Y91" s="212">
        <f>SUM(V91:X91)</f>
        <v>4000</v>
      </c>
      <c r="Z91" s="210">
        <v>2000</v>
      </c>
      <c r="AA91" s="210">
        <v>2000</v>
      </c>
      <c r="AB91" s="210">
        <v>2000</v>
      </c>
      <c r="AC91" s="212">
        <f>SUM(Z91:AB91)</f>
        <v>6000</v>
      </c>
      <c r="AD91" s="210">
        <v>2000</v>
      </c>
      <c r="AE91" s="210">
        <v>2000</v>
      </c>
      <c r="AF91" s="210">
        <v>2000</v>
      </c>
      <c r="AG91" s="212">
        <f>SUM(AD91:AF91)</f>
        <v>6000</v>
      </c>
      <c r="AH91" s="210">
        <f>U91+Y91+AC91+AG91</f>
        <v>20000</v>
      </c>
      <c r="AI91" s="148" t="s">
        <v>0</v>
      </c>
    </row>
    <row r="92" spans="1:35" ht="16.5" customHeight="1">
      <c r="A92" s="477"/>
      <c r="B92" s="243"/>
      <c r="C92" s="406"/>
      <c r="F92" s="177"/>
      <c r="G92" s="257"/>
      <c r="H92" s="257"/>
      <c r="I92" s="257"/>
      <c r="J92" s="257"/>
      <c r="K92" s="257"/>
      <c r="L92" s="282"/>
      <c r="M92" s="257"/>
      <c r="N92" s="257"/>
      <c r="O92" s="257"/>
      <c r="Q92" s="208"/>
      <c r="R92" s="210"/>
      <c r="S92" s="210"/>
      <c r="T92" s="210"/>
      <c r="U92" s="212"/>
      <c r="V92" s="210"/>
      <c r="W92" s="210"/>
      <c r="X92" s="210"/>
      <c r="Y92" s="212"/>
      <c r="Z92" s="210"/>
      <c r="AA92" s="210"/>
      <c r="AB92" s="210"/>
      <c r="AC92" s="212"/>
      <c r="AD92" s="210"/>
      <c r="AE92" s="210"/>
      <c r="AF92" s="210"/>
      <c r="AG92" s="212"/>
      <c r="AH92" s="210"/>
      <c r="AI92" s="148"/>
    </row>
    <row r="93" spans="1:35" ht="16.5" customHeight="1">
      <c r="A93" s="477"/>
      <c r="B93" s="243"/>
      <c r="C93" s="406"/>
      <c r="F93" s="177"/>
      <c r="G93" s="257"/>
      <c r="H93" s="257"/>
      <c r="I93" s="257"/>
      <c r="J93" s="257"/>
      <c r="K93" s="257"/>
      <c r="L93" s="282"/>
      <c r="M93" s="257"/>
      <c r="N93" s="257"/>
      <c r="O93" s="257"/>
      <c r="Q93" s="208"/>
      <c r="R93" s="210"/>
      <c r="S93" s="210"/>
      <c r="T93" s="210"/>
      <c r="U93" s="212"/>
      <c r="V93" s="210"/>
      <c r="W93" s="210"/>
      <c r="X93" s="210"/>
      <c r="Y93" s="212"/>
      <c r="Z93" s="210"/>
      <c r="AA93" s="210"/>
      <c r="AB93" s="210"/>
      <c r="AC93" s="212"/>
      <c r="AD93" s="210"/>
      <c r="AE93" s="210"/>
      <c r="AF93" s="210"/>
      <c r="AG93" s="212"/>
      <c r="AH93" s="210"/>
      <c r="AI93" s="148"/>
    </row>
    <row r="94" spans="1:35" ht="16.5" customHeight="1">
      <c r="A94" s="477"/>
      <c r="B94" s="243"/>
      <c r="C94" s="406"/>
      <c r="F94" s="177"/>
      <c r="G94" s="257"/>
      <c r="H94" s="257"/>
      <c r="I94" s="257"/>
      <c r="J94" s="257"/>
      <c r="K94" s="257"/>
      <c r="L94" s="282"/>
      <c r="M94" s="257"/>
      <c r="N94" s="257"/>
      <c r="O94" s="257"/>
      <c r="Q94" s="208"/>
      <c r="R94" s="210"/>
      <c r="S94" s="210"/>
      <c r="T94" s="210"/>
      <c r="U94" s="212"/>
      <c r="V94" s="210"/>
      <c r="W94" s="210"/>
      <c r="X94" s="210"/>
      <c r="Y94" s="212"/>
      <c r="Z94" s="210"/>
      <c r="AA94" s="210"/>
      <c r="AB94" s="210"/>
      <c r="AC94" s="212"/>
      <c r="AD94" s="210"/>
      <c r="AE94" s="210"/>
      <c r="AF94" s="210"/>
      <c r="AG94" s="212"/>
      <c r="AH94" s="210"/>
      <c r="AI94" s="148"/>
    </row>
    <row r="95" spans="1:35" ht="16.5" customHeight="1">
      <c r="A95" s="478"/>
      <c r="B95" s="243"/>
      <c r="C95" s="407"/>
      <c r="F95" s="177"/>
      <c r="G95" s="257"/>
      <c r="H95" s="257"/>
      <c r="I95" s="257"/>
      <c r="J95" s="257"/>
      <c r="K95" s="257"/>
      <c r="L95" s="282"/>
      <c r="M95" s="257"/>
      <c r="N95" s="257"/>
      <c r="O95" s="257"/>
      <c r="Q95" s="208"/>
      <c r="R95" s="210"/>
      <c r="S95" s="210"/>
      <c r="T95" s="210"/>
      <c r="U95" s="212"/>
      <c r="V95" s="210"/>
      <c r="W95" s="210"/>
      <c r="X95" s="210"/>
      <c r="Y95" s="212"/>
      <c r="Z95" s="210"/>
      <c r="AA95" s="210"/>
      <c r="AB95" s="210"/>
      <c r="AC95" s="212"/>
      <c r="AD95" s="210"/>
      <c r="AE95" s="210"/>
      <c r="AF95" s="210"/>
      <c r="AG95" s="212"/>
      <c r="AH95" s="210"/>
      <c r="AI95" s="148"/>
    </row>
    <row r="96" spans="1:38" ht="16.5" customHeight="1">
      <c r="A96" s="476" t="s">
        <v>278</v>
      </c>
      <c r="B96" s="239"/>
      <c r="C96" s="480" t="s">
        <v>277</v>
      </c>
      <c r="F96" s="177">
        <f>21*1500+96500</f>
        <v>128000</v>
      </c>
      <c r="G96" s="257" t="str">
        <f>Лист1!B25</f>
        <v>UA-P-2020-01-31-016162-a</v>
      </c>
      <c r="H96" s="257">
        <f>F96</f>
        <v>128000</v>
      </c>
      <c r="I96" s="257"/>
      <c r="J96" s="257"/>
      <c r="K96" s="257"/>
      <c r="L96" s="282"/>
      <c r="M96" s="257"/>
      <c r="N96" s="257">
        <f>H96+M96</f>
        <v>128000</v>
      </c>
      <c r="O96" s="257">
        <f>N96-K96-K97-K98-K99-K100-K101-K102-K103-K104-K105</f>
        <v>50573.56999999999</v>
      </c>
      <c r="P96" s="9" t="s">
        <v>433</v>
      </c>
      <c r="Q96" s="208"/>
      <c r="R96" s="210">
        <v>10400</v>
      </c>
      <c r="S96" s="210">
        <v>10800</v>
      </c>
      <c r="T96" s="210">
        <v>10800</v>
      </c>
      <c r="U96" s="212">
        <f>SUM(R96:T96)</f>
        <v>32000</v>
      </c>
      <c r="V96" s="210">
        <v>10800</v>
      </c>
      <c r="W96" s="210">
        <v>10800</v>
      </c>
      <c r="X96" s="210">
        <v>10400</v>
      </c>
      <c r="Y96" s="212">
        <f>SUM(V96:X96)</f>
        <v>32000</v>
      </c>
      <c r="Z96" s="210">
        <v>10800</v>
      </c>
      <c r="AA96" s="210">
        <v>10400</v>
      </c>
      <c r="AB96" s="210">
        <v>10800</v>
      </c>
      <c r="AC96" s="212">
        <f>SUM(Z96:AB96)</f>
        <v>32000</v>
      </c>
      <c r="AD96" s="210">
        <v>10800</v>
      </c>
      <c r="AE96" s="210">
        <v>10800</v>
      </c>
      <c r="AF96" s="210">
        <v>10400</v>
      </c>
      <c r="AG96" s="212">
        <f>SUM(AD96:AF96)</f>
        <v>32000</v>
      </c>
      <c r="AH96" s="210">
        <f>U96+Y96+AC96+AG96</f>
        <v>128000</v>
      </c>
      <c r="AI96" s="148" t="s">
        <v>326</v>
      </c>
      <c r="AJ96" s="148" t="s">
        <v>399</v>
      </c>
      <c r="AL96" s="148" t="s">
        <v>326</v>
      </c>
    </row>
    <row r="97" spans="1:38" ht="16.5" customHeight="1">
      <c r="A97" s="477"/>
      <c r="B97" s="243"/>
      <c r="C97" s="481"/>
      <c r="F97" s="177"/>
      <c r="G97" s="257"/>
      <c r="H97" s="257"/>
      <c r="I97" s="257" t="s">
        <v>820</v>
      </c>
      <c r="J97" s="284" t="s">
        <v>821</v>
      </c>
      <c r="K97" s="284">
        <v>8400</v>
      </c>
      <c r="L97" s="282"/>
      <c r="M97" s="257"/>
      <c r="N97" s="257"/>
      <c r="O97" s="257"/>
      <c r="Q97" s="208"/>
      <c r="R97" s="210"/>
      <c r="S97" s="210"/>
      <c r="T97" s="210"/>
      <c r="U97" s="212"/>
      <c r="V97" s="210"/>
      <c r="W97" s="210"/>
      <c r="X97" s="210"/>
      <c r="Y97" s="212"/>
      <c r="Z97" s="210"/>
      <c r="AA97" s="210"/>
      <c r="AB97" s="210"/>
      <c r="AC97" s="212"/>
      <c r="AD97" s="210"/>
      <c r="AE97" s="210"/>
      <c r="AF97" s="210"/>
      <c r="AG97" s="212"/>
      <c r="AH97" s="210"/>
      <c r="AI97" s="148"/>
      <c r="AJ97" s="296"/>
      <c r="AL97" s="296"/>
    </row>
    <row r="98" spans="1:38" ht="16.5" customHeight="1">
      <c r="A98" s="477"/>
      <c r="B98" s="243"/>
      <c r="C98" s="481"/>
      <c r="F98" s="177"/>
      <c r="G98" s="257"/>
      <c r="H98" s="257"/>
      <c r="I98" s="257" t="s">
        <v>822</v>
      </c>
      <c r="J98" s="257" t="s">
        <v>823</v>
      </c>
      <c r="K98" s="257">
        <v>25200</v>
      </c>
      <c r="L98" s="282"/>
      <c r="M98" s="257"/>
      <c r="N98" s="257"/>
      <c r="O98" s="257"/>
      <c r="Q98" s="208"/>
      <c r="R98" s="210"/>
      <c r="S98" s="210"/>
      <c r="T98" s="210"/>
      <c r="U98" s="212"/>
      <c r="V98" s="210"/>
      <c r="W98" s="210"/>
      <c r="X98" s="210"/>
      <c r="Y98" s="212"/>
      <c r="Z98" s="210"/>
      <c r="AA98" s="210"/>
      <c r="AB98" s="210"/>
      <c r="AC98" s="212"/>
      <c r="AD98" s="210"/>
      <c r="AE98" s="210"/>
      <c r="AF98" s="210"/>
      <c r="AG98" s="212"/>
      <c r="AH98" s="210"/>
      <c r="AI98" s="148"/>
      <c r="AJ98" s="296"/>
      <c r="AL98" s="296"/>
    </row>
    <row r="99" spans="1:38" ht="16.5" customHeight="1">
      <c r="A99" s="477"/>
      <c r="B99" s="243"/>
      <c r="C99" s="481"/>
      <c r="F99" s="177"/>
      <c r="G99" s="257"/>
      <c r="H99" s="257"/>
      <c r="I99" s="257" t="s">
        <v>824</v>
      </c>
      <c r="J99" s="284" t="s">
        <v>825</v>
      </c>
      <c r="K99" s="284">
        <v>156.22</v>
      </c>
      <c r="L99" s="282"/>
      <c r="M99" s="257"/>
      <c r="N99" s="257"/>
      <c r="O99" s="257"/>
      <c r="Q99" s="208"/>
      <c r="R99" s="210"/>
      <c r="S99" s="210"/>
      <c r="T99" s="210"/>
      <c r="U99" s="212"/>
      <c r="V99" s="210"/>
      <c r="W99" s="210"/>
      <c r="X99" s="210"/>
      <c r="Y99" s="212"/>
      <c r="Z99" s="210"/>
      <c r="AA99" s="210"/>
      <c r="AB99" s="210"/>
      <c r="AC99" s="212"/>
      <c r="AD99" s="210"/>
      <c r="AE99" s="210"/>
      <c r="AF99" s="210"/>
      <c r="AG99" s="212"/>
      <c r="AH99" s="210"/>
      <c r="AI99" s="148"/>
      <c r="AJ99" s="296"/>
      <c r="AL99" s="296"/>
    </row>
    <row r="100" spans="1:38" ht="16.5" customHeight="1">
      <c r="A100" s="477"/>
      <c r="B100" s="243"/>
      <c r="C100" s="481"/>
      <c r="F100" s="177"/>
      <c r="G100" s="257"/>
      <c r="H100" s="257"/>
      <c r="I100" s="257" t="s">
        <v>826</v>
      </c>
      <c r="J100" s="284" t="s">
        <v>827</v>
      </c>
      <c r="K100" s="284">
        <v>6050.21</v>
      </c>
      <c r="L100" s="282"/>
      <c r="M100" s="257"/>
      <c r="N100" s="257"/>
      <c r="O100" s="257"/>
      <c r="Q100" s="208"/>
      <c r="R100" s="210"/>
      <c r="S100" s="210"/>
      <c r="T100" s="210"/>
      <c r="U100" s="212"/>
      <c r="V100" s="210"/>
      <c r="W100" s="210"/>
      <c r="X100" s="210"/>
      <c r="Y100" s="212"/>
      <c r="Z100" s="210"/>
      <c r="AA100" s="210"/>
      <c r="AB100" s="210"/>
      <c r="AC100" s="212"/>
      <c r="AD100" s="210"/>
      <c r="AE100" s="210"/>
      <c r="AF100" s="210"/>
      <c r="AG100" s="212"/>
      <c r="AH100" s="210"/>
      <c r="AI100" s="148"/>
      <c r="AJ100" s="296"/>
      <c r="AL100" s="296"/>
    </row>
    <row r="101" spans="1:38" ht="16.5" customHeight="1">
      <c r="A101" s="477"/>
      <c r="B101" s="243"/>
      <c r="C101" s="481"/>
      <c r="F101" s="177"/>
      <c r="G101" s="295" t="s">
        <v>813</v>
      </c>
      <c r="H101" s="257"/>
      <c r="I101" s="257" t="s">
        <v>828</v>
      </c>
      <c r="J101" s="284" t="s">
        <v>829</v>
      </c>
      <c r="K101" s="284">
        <v>7000</v>
      </c>
      <c r="L101" s="282"/>
      <c r="M101" s="257"/>
      <c r="N101" s="257"/>
      <c r="O101" s="257"/>
      <c r="Q101" s="208"/>
      <c r="R101" s="210"/>
      <c r="S101" s="210"/>
      <c r="T101" s="210"/>
      <c r="U101" s="212"/>
      <c r="V101" s="210"/>
      <c r="W101" s="210"/>
      <c r="X101" s="210"/>
      <c r="Y101" s="212"/>
      <c r="Z101" s="210"/>
      <c r="AA101" s="210"/>
      <c r="AB101" s="210"/>
      <c r="AC101" s="212"/>
      <c r="AD101" s="210"/>
      <c r="AE101" s="210"/>
      <c r="AF101" s="210"/>
      <c r="AG101" s="212"/>
      <c r="AH101" s="210"/>
      <c r="AI101" s="148"/>
      <c r="AJ101" s="296"/>
      <c r="AL101" s="296"/>
    </row>
    <row r="102" spans="1:38" ht="16.5" customHeight="1">
      <c r="A102" s="477"/>
      <c r="B102" s="243"/>
      <c r="C102" s="481"/>
      <c r="F102" s="177"/>
      <c r="G102" s="295" t="s">
        <v>813</v>
      </c>
      <c r="H102" s="257"/>
      <c r="I102" s="257" t="s">
        <v>830</v>
      </c>
      <c r="J102" s="284" t="s">
        <v>831</v>
      </c>
      <c r="K102" s="284">
        <v>14700</v>
      </c>
      <c r="L102" s="282"/>
      <c r="M102" s="257"/>
      <c r="N102" s="257"/>
      <c r="O102" s="257"/>
      <c r="Q102" s="208"/>
      <c r="R102" s="210"/>
      <c r="S102" s="210"/>
      <c r="T102" s="210"/>
      <c r="U102" s="212"/>
      <c r="V102" s="210"/>
      <c r="W102" s="210"/>
      <c r="X102" s="210"/>
      <c r="Y102" s="212"/>
      <c r="Z102" s="210"/>
      <c r="AA102" s="210"/>
      <c r="AB102" s="210"/>
      <c r="AC102" s="212"/>
      <c r="AD102" s="210"/>
      <c r="AE102" s="210"/>
      <c r="AF102" s="210"/>
      <c r="AG102" s="212"/>
      <c r="AH102" s="210"/>
      <c r="AI102" s="148"/>
      <c r="AJ102" s="296"/>
      <c r="AL102" s="296"/>
    </row>
    <row r="103" spans="1:38" ht="16.5" customHeight="1">
      <c r="A103" s="477"/>
      <c r="B103" s="243"/>
      <c r="C103" s="481"/>
      <c r="F103" s="177"/>
      <c r="G103" s="299" t="s">
        <v>834</v>
      </c>
      <c r="H103" s="257"/>
      <c r="I103" s="257" t="s">
        <v>832</v>
      </c>
      <c r="J103" s="257" t="s">
        <v>833</v>
      </c>
      <c r="K103" s="257">
        <v>14000</v>
      </c>
      <c r="L103" s="282"/>
      <c r="M103" s="257"/>
      <c r="N103" s="257"/>
      <c r="O103" s="257"/>
      <c r="Q103" s="208"/>
      <c r="R103" s="210"/>
      <c r="S103" s="210"/>
      <c r="T103" s="210"/>
      <c r="U103" s="212"/>
      <c r="V103" s="210"/>
      <c r="W103" s="210"/>
      <c r="X103" s="210"/>
      <c r="Y103" s="212"/>
      <c r="Z103" s="210"/>
      <c r="AA103" s="210"/>
      <c r="AB103" s="210"/>
      <c r="AC103" s="212"/>
      <c r="AD103" s="210"/>
      <c r="AE103" s="210"/>
      <c r="AF103" s="210"/>
      <c r="AG103" s="212"/>
      <c r="AH103" s="210"/>
      <c r="AI103" s="148"/>
      <c r="AJ103" s="296"/>
      <c r="AL103" s="296"/>
    </row>
    <row r="104" spans="1:38" ht="16.5" customHeight="1">
      <c r="A104" s="477"/>
      <c r="B104" s="243"/>
      <c r="C104" s="481"/>
      <c r="F104" s="177"/>
      <c r="G104" s="295" t="s">
        <v>813</v>
      </c>
      <c r="H104" s="257"/>
      <c r="I104" s="257" t="s">
        <v>835</v>
      </c>
      <c r="J104" s="284" t="s">
        <v>836</v>
      </c>
      <c r="K104" s="284">
        <v>1920</v>
      </c>
      <c r="L104" s="282"/>
      <c r="M104" s="257"/>
      <c r="N104" s="257"/>
      <c r="O104" s="257"/>
      <c r="Q104" s="208"/>
      <c r="R104" s="210"/>
      <c r="S104" s="210"/>
      <c r="T104" s="210"/>
      <c r="U104" s="212"/>
      <c r="V104" s="210"/>
      <c r="W104" s="210"/>
      <c r="X104" s="210"/>
      <c r="Y104" s="212"/>
      <c r="Z104" s="210"/>
      <c r="AA104" s="210"/>
      <c r="AB104" s="210"/>
      <c r="AC104" s="212"/>
      <c r="AD104" s="210"/>
      <c r="AE104" s="210"/>
      <c r="AF104" s="210"/>
      <c r="AG104" s="212"/>
      <c r="AH104" s="210"/>
      <c r="AI104" s="148"/>
      <c r="AJ104" s="296"/>
      <c r="AL104" s="296"/>
    </row>
    <row r="105" spans="1:38" ht="16.5" customHeight="1">
      <c r="A105" s="478"/>
      <c r="B105" s="243"/>
      <c r="C105" s="482"/>
      <c r="F105" s="177"/>
      <c r="G105" s="257"/>
      <c r="H105" s="257"/>
      <c r="I105" s="257"/>
      <c r="J105" s="257"/>
      <c r="K105" s="257"/>
      <c r="L105" s="282"/>
      <c r="M105" s="257"/>
      <c r="N105" s="257"/>
      <c r="O105" s="257"/>
      <c r="Q105" s="208"/>
      <c r="R105" s="210"/>
      <c r="S105" s="210"/>
      <c r="T105" s="210"/>
      <c r="U105" s="212"/>
      <c r="V105" s="210"/>
      <c r="W105" s="210"/>
      <c r="X105" s="210"/>
      <c r="Y105" s="212"/>
      <c r="Z105" s="210"/>
      <c r="AA105" s="210"/>
      <c r="AB105" s="210"/>
      <c r="AC105" s="212"/>
      <c r="AD105" s="210"/>
      <c r="AE105" s="210"/>
      <c r="AF105" s="210"/>
      <c r="AG105" s="212"/>
      <c r="AH105" s="210"/>
      <c r="AI105" s="148"/>
      <c r="AJ105" s="296"/>
      <c r="AL105" s="296"/>
    </row>
    <row r="106" spans="1:35" ht="16.5" customHeight="1">
      <c r="A106" s="476" t="s">
        <v>276</v>
      </c>
      <c r="B106" s="239"/>
      <c r="C106" s="480" t="s">
        <v>275</v>
      </c>
      <c r="F106" s="177">
        <v>90000</v>
      </c>
      <c r="G106" s="257" t="str">
        <f>Лист1!B26</f>
        <v>UA-P-2020-01-31-016177-a</v>
      </c>
      <c r="H106" s="257">
        <f>F106</f>
        <v>90000</v>
      </c>
      <c r="I106" s="257"/>
      <c r="J106" s="257"/>
      <c r="K106" s="257"/>
      <c r="L106" s="282"/>
      <c r="M106" s="257"/>
      <c r="N106" s="257">
        <f>H106+M106</f>
        <v>90000</v>
      </c>
      <c r="O106" s="257">
        <f>N106-K106-K107-K108-K109-K110-K111-K112-K113-K114-K115-K116-K117-K118-K119-K120</f>
        <v>21661.179999999986</v>
      </c>
      <c r="Q106" s="208"/>
      <c r="R106" s="210">
        <v>7500</v>
      </c>
      <c r="S106" s="210">
        <v>7500</v>
      </c>
      <c r="T106" s="210">
        <v>7500</v>
      </c>
      <c r="U106" s="212">
        <f>SUM(R106:T106)</f>
        <v>22500</v>
      </c>
      <c r="V106" s="210">
        <v>7500</v>
      </c>
      <c r="W106" s="210">
        <v>7500</v>
      </c>
      <c r="X106" s="210">
        <v>7500</v>
      </c>
      <c r="Y106" s="212">
        <f>SUM(V106:X106)</f>
        <v>22500</v>
      </c>
      <c r="Z106" s="210">
        <v>7500</v>
      </c>
      <c r="AA106" s="210">
        <v>7500</v>
      </c>
      <c r="AB106" s="210">
        <v>7500</v>
      </c>
      <c r="AC106" s="212">
        <f>SUM(Z106:AB106)</f>
        <v>22500</v>
      </c>
      <c r="AD106" s="210">
        <v>7500</v>
      </c>
      <c r="AE106" s="210">
        <v>7500</v>
      </c>
      <c r="AF106" s="210">
        <v>7500</v>
      </c>
      <c r="AG106" s="212">
        <f>SUM(AD106:AF106)</f>
        <v>22500</v>
      </c>
      <c r="AH106" s="210">
        <f>U106+Y106+AC106+AG106</f>
        <v>90000</v>
      </c>
      <c r="AI106" s="148" t="s">
        <v>326</v>
      </c>
    </row>
    <row r="107" spans="1:35" ht="16.5" customHeight="1">
      <c r="A107" s="477"/>
      <c r="B107" s="243"/>
      <c r="C107" s="481"/>
      <c r="F107" s="177"/>
      <c r="G107" s="257"/>
      <c r="H107" s="257"/>
      <c r="I107" s="257" t="s">
        <v>837</v>
      </c>
      <c r="J107" s="284" t="s">
        <v>838</v>
      </c>
      <c r="K107" s="284">
        <v>2430</v>
      </c>
      <c r="L107" s="282"/>
      <c r="M107" s="257"/>
      <c r="N107" s="257"/>
      <c r="O107" s="257"/>
      <c r="Q107" s="208"/>
      <c r="R107" s="210"/>
      <c r="S107" s="210"/>
      <c r="T107" s="210"/>
      <c r="U107" s="212"/>
      <c r="V107" s="210"/>
      <c r="W107" s="210"/>
      <c r="X107" s="210"/>
      <c r="Y107" s="212"/>
      <c r="Z107" s="210"/>
      <c r="AA107" s="210"/>
      <c r="AB107" s="210"/>
      <c r="AC107" s="212"/>
      <c r="AD107" s="210"/>
      <c r="AE107" s="210"/>
      <c r="AF107" s="210"/>
      <c r="AG107" s="212"/>
      <c r="AH107" s="210"/>
      <c r="AI107" s="148"/>
    </row>
    <row r="108" spans="1:35" ht="16.5" customHeight="1">
      <c r="A108" s="477"/>
      <c r="B108" s="243"/>
      <c r="C108" s="481"/>
      <c r="F108" s="177"/>
      <c r="G108" s="257"/>
      <c r="H108" s="257"/>
      <c r="I108" s="257" t="s">
        <v>839</v>
      </c>
      <c r="J108" s="284" t="s">
        <v>840</v>
      </c>
      <c r="K108" s="284">
        <v>8762</v>
      </c>
      <c r="L108" s="282"/>
      <c r="M108" s="257"/>
      <c r="N108" s="257"/>
      <c r="O108" s="257"/>
      <c r="Q108" s="208"/>
      <c r="R108" s="210"/>
      <c r="S108" s="210"/>
      <c r="T108" s="210"/>
      <c r="U108" s="212"/>
      <c r="V108" s="210"/>
      <c r="W108" s="210"/>
      <c r="X108" s="210"/>
      <c r="Y108" s="212"/>
      <c r="Z108" s="210"/>
      <c r="AA108" s="210"/>
      <c r="AB108" s="210"/>
      <c r="AC108" s="212"/>
      <c r="AD108" s="210"/>
      <c r="AE108" s="210"/>
      <c r="AF108" s="210"/>
      <c r="AG108" s="212"/>
      <c r="AH108" s="210"/>
      <c r="AI108" s="148"/>
    </row>
    <row r="109" spans="1:35" ht="16.5" customHeight="1">
      <c r="A109" s="477"/>
      <c r="B109" s="243"/>
      <c r="C109" s="481"/>
      <c r="F109" s="177"/>
      <c r="G109" s="257"/>
      <c r="H109" s="257"/>
      <c r="I109" s="257" t="s">
        <v>841</v>
      </c>
      <c r="J109" s="284" t="s">
        <v>842</v>
      </c>
      <c r="K109" s="284">
        <v>445.32</v>
      </c>
      <c r="L109" s="282"/>
      <c r="M109" s="257"/>
      <c r="N109" s="257"/>
      <c r="O109" s="257"/>
      <c r="Q109" s="208"/>
      <c r="R109" s="210"/>
      <c r="S109" s="210"/>
      <c r="T109" s="210"/>
      <c r="U109" s="212"/>
      <c r="V109" s="210"/>
      <c r="W109" s="210"/>
      <c r="X109" s="210"/>
      <c r="Y109" s="212"/>
      <c r="Z109" s="210"/>
      <c r="AA109" s="210"/>
      <c r="AB109" s="210"/>
      <c r="AC109" s="212"/>
      <c r="AD109" s="210"/>
      <c r="AE109" s="210"/>
      <c r="AF109" s="210"/>
      <c r="AG109" s="212"/>
      <c r="AH109" s="210"/>
      <c r="AI109" s="148"/>
    </row>
    <row r="110" spans="1:35" ht="16.5" customHeight="1">
      <c r="A110" s="477"/>
      <c r="B110" s="243"/>
      <c r="C110" s="481"/>
      <c r="F110" s="177"/>
      <c r="G110" s="257"/>
      <c r="H110" s="257"/>
      <c r="I110" s="257" t="s">
        <v>843</v>
      </c>
      <c r="J110" s="284" t="s">
        <v>844</v>
      </c>
      <c r="K110" s="284">
        <v>4704</v>
      </c>
      <c r="L110" s="282"/>
      <c r="M110" s="257"/>
      <c r="N110" s="257"/>
      <c r="O110" s="257"/>
      <c r="Q110" s="208"/>
      <c r="R110" s="210"/>
      <c r="S110" s="210"/>
      <c r="T110" s="210"/>
      <c r="U110" s="212"/>
      <c r="V110" s="210"/>
      <c r="W110" s="210"/>
      <c r="X110" s="210"/>
      <c r="Y110" s="212"/>
      <c r="Z110" s="210"/>
      <c r="AA110" s="210"/>
      <c r="AB110" s="210"/>
      <c r="AC110" s="212"/>
      <c r="AD110" s="210"/>
      <c r="AE110" s="210"/>
      <c r="AF110" s="210"/>
      <c r="AG110" s="212"/>
      <c r="AH110" s="210"/>
      <c r="AI110" s="148"/>
    </row>
    <row r="111" spans="1:35" ht="16.5" customHeight="1">
      <c r="A111" s="477"/>
      <c r="B111" s="243"/>
      <c r="C111" s="481"/>
      <c r="F111" s="177"/>
      <c r="G111" s="257"/>
      <c r="H111" s="257"/>
      <c r="I111" s="257" t="s">
        <v>845</v>
      </c>
      <c r="J111" s="284" t="s">
        <v>846</v>
      </c>
      <c r="K111" s="284">
        <v>429.1</v>
      </c>
      <c r="L111" s="282"/>
      <c r="M111" s="257"/>
      <c r="N111" s="257"/>
      <c r="O111" s="257"/>
      <c r="Q111" s="208"/>
      <c r="R111" s="210"/>
      <c r="S111" s="210"/>
      <c r="T111" s="210"/>
      <c r="U111" s="212"/>
      <c r="V111" s="210"/>
      <c r="W111" s="210"/>
      <c r="X111" s="210"/>
      <c r="Y111" s="212"/>
      <c r="Z111" s="210"/>
      <c r="AA111" s="210"/>
      <c r="AB111" s="210"/>
      <c r="AC111" s="212"/>
      <c r="AD111" s="210"/>
      <c r="AE111" s="210"/>
      <c r="AF111" s="210"/>
      <c r="AG111" s="212"/>
      <c r="AH111" s="210"/>
      <c r="AI111" s="148"/>
    </row>
    <row r="112" spans="1:35" ht="16.5" customHeight="1">
      <c r="A112" s="477"/>
      <c r="B112" s="243"/>
      <c r="C112" s="481"/>
      <c r="F112" s="177"/>
      <c r="G112" s="295" t="s">
        <v>813</v>
      </c>
      <c r="H112" s="257"/>
      <c r="I112" s="257" t="s">
        <v>847</v>
      </c>
      <c r="J112" s="284" t="s">
        <v>848</v>
      </c>
      <c r="K112" s="284">
        <v>4900</v>
      </c>
      <c r="L112" s="282"/>
      <c r="M112" s="257"/>
      <c r="N112" s="257"/>
      <c r="O112" s="257"/>
      <c r="Q112" s="208"/>
      <c r="R112" s="210"/>
      <c r="S112" s="210"/>
      <c r="T112" s="210"/>
      <c r="U112" s="212"/>
      <c r="V112" s="210"/>
      <c r="W112" s="210"/>
      <c r="X112" s="210"/>
      <c r="Y112" s="212"/>
      <c r="Z112" s="210"/>
      <c r="AA112" s="210"/>
      <c r="AB112" s="210"/>
      <c r="AC112" s="212"/>
      <c r="AD112" s="210"/>
      <c r="AE112" s="210"/>
      <c r="AF112" s="210"/>
      <c r="AG112" s="212"/>
      <c r="AH112" s="210"/>
      <c r="AI112" s="148"/>
    </row>
    <row r="113" spans="1:35" ht="16.5" customHeight="1">
      <c r="A113" s="477"/>
      <c r="B113" s="243"/>
      <c r="C113" s="481"/>
      <c r="F113" s="177"/>
      <c r="G113" s="295" t="s">
        <v>813</v>
      </c>
      <c r="H113" s="257"/>
      <c r="I113" s="257" t="s">
        <v>849</v>
      </c>
      <c r="J113" s="284" t="s">
        <v>850</v>
      </c>
      <c r="K113" s="284">
        <v>20000</v>
      </c>
      <c r="L113" s="282"/>
      <c r="M113" s="257"/>
      <c r="N113" s="257"/>
      <c r="O113" s="257"/>
      <c r="Q113" s="208"/>
      <c r="R113" s="210"/>
      <c r="S113" s="210"/>
      <c r="T113" s="210"/>
      <c r="U113" s="212"/>
      <c r="V113" s="210"/>
      <c r="W113" s="210"/>
      <c r="X113" s="210"/>
      <c r="Y113" s="212"/>
      <c r="Z113" s="210"/>
      <c r="AA113" s="210"/>
      <c r="AB113" s="210"/>
      <c r="AC113" s="212"/>
      <c r="AD113" s="210"/>
      <c r="AE113" s="210"/>
      <c r="AF113" s="210"/>
      <c r="AG113" s="212"/>
      <c r="AH113" s="210"/>
      <c r="AI113" s="148"/>
    </row>
    <row r="114" spans="1:35" ht="16.5" customHeight="1">
      <c r="A114" s="477"/>
      <c r="B114" s="243"/>
      <c r="C114" s="481"/>
      <c r="F114" s="177"/>
      <c r="G114" s="295" t="s">
        <v>813</v>
      </c>
      <c r="H114" s="257"/>
      <c r="I114" s="257" t="s">
        <v>851</v>
      </c>
      <c r="J114" s="284" t="s">
        <v>852</v>
      </c>
      <c r="K114" s="284">
        <v>12100</v>
      </c>
      <c r="L114" s="282"/>
      <c r="M114" s="257"/>
      <c r="N114" s="257"/>
      <c r="O114" s="257"/>
      <c r="Q114" s="208"/>
      <c r="R114" s="210"/>
      <c r="S114" s="210"/>
      <c r="T114" s="210"/>
      <c r="U114" s="212"/>
      <c r="V114" s="210"/>
      <c r="W114" s="210"/>
      <c r="X114" s="210"/>
      <c r="Y114" s="212"/>
      <c r="Z114" s="210"/>
      <c r="AA114" s="210"/>
      <c r="AB114" s="210"/>
      <c r="AC114" s="212"/>
      <c r="AD114" s="210"/>
      <c r="AE114" s="210"/>
      <c r="AF114" s="210"/>
      <c r="AG114" s="212"/>
      <c r="AH114" s="210"/>
      <c r="AI114" s="148"/>
    </row>
    <row r="115" spans="1:35" ht="16.5" customHeight="1">
      <c r="A115" s="477"/>
      <c r="B115" s="243"/>
      <c r="C115" s="481"/>
      <c r="F115" s="177"/>
      <c r="G115" s="295" t="s">
        <v>813</v>
      </c>
      <c r="H115" s="257"/>
      <c r="I115" s="257" t="s">
        <v>853</v>
      </c>
      <c r="J115" s="284" t="s">
        <v>854</v>
      </c>
      <c r="K115" s="284">
        <v>7500</v>
      </c>
      <c r="L115" s="282"/>
      <c r="M115" s="257"/>
      <c r="N115" s="257"/>
      <c r="O115" s="257"/>
      <c r="Q115" s="208"/>
      <c r="R115" s="210"/>
      <c r="S115" s="210"/>
      <c r="T115" s="210"/>
      <c r="U115" s="212"/>
      <c r="V115" s="210"/>
      <c r="W115" s="210"/>
      <c r="X115" s="210"/>
      <c r="Y115" s="212"/>
      <c r="Z115" s="210"/>
      <c r="AA115" s="210"/>
      <c r="AB115" s="210"/>
      <c r="AC115" s="212"/>
      <c r="AD115" s="210"/>
      <c r="AE115" s="210"/>
      <c r="AF115" s="210"/>
      <c r="AG115" s="212"/>
      <c r="AH115" s="210"/>
      <c r="AI115" s="148"/>
    </row>
    <row r="116" spans="1:35" ht="16.5" customHeight="1">
      <c r="A116" s="477"/>
      <c r="B116" s="243"/>
      <c r="C116" s="481"/>
      <c r="F116" s="177"/>
      <c r="G116" s="295" t="s">
        <v>813</v>
      </c>
      <c r="H116" s="257"/>
      <c r="I116" s="257" t="s">
        <v>855</v>
      </c>
      <c r="J116" s="284" t="s">
        <v>856</v>
      </c>
      <c r="K116" s="284">
        <v>1600.2</v>
      </c>
      <c r="L116" s="282"/>
      <c r="M116" s="257"/>
      <c r="N116" s="257"/>
      <c r="O116" s="257"/>
      <c r="Q116" s="208"/>
      <c r="R116" s="210"/>
      <c r="S116" s="210"/>
      <c r="T116" s="210"/>
      <c r="U116" s="212"/>
      <c r="V116" s="210"/>
      <c r="W116" s="210"/>
      <c r="X116" s="210"/>
      <c r="Y116" s="212"/>
      <c r="Z116" s="210"/>
      <c r="AA116" s="210"/>
      <c r="AB116" s="210"/>
      <c r="AC116" s="212"/>
      <c r="AD116" s="210"/>
      <c r="AE116" s="210"/>
      <c r="AF116" s="210"/>
      <c r="AG116" s="212"/>
      <c r="AH116" s="210"/>
      <c r="AI116" s="148"/>
    </row>
    <row r="117" spans="1:35" ht="16.5" customHeight="1">
      <c r="A117" s="477"/>
      <c r="B117" s="243"/>
      <c r="C117" s="481"/>
      <c r="F117" s="177"/>
      <c r="G117" s="295" t="s">
        <v>813</v>
      </c>
      <c r="H117" s="257"/>
      <c r="I117" s="257" t="s">
        <v>857</v>
      </c>
      <c r="J117" s="284" t="s">
        <v>858</v>
      </c>
      <c r="K117" s="284">
        <v>4000</v>
      </c>
      <c r="L117" s="282"/>
      <c r="M117" s="257"/>
      <c r="N117" s="257"/>
      <c r="O117" s="257"/>
      <c r="Q117" s="208"/>
      <c r="R117" s="210"/>
      <c r="S117" s="210"/>
      <c r="T117" s="210"/>
      <c r="U117" s="212"/>
      <c r="V117" s="210"/>
      <c r="W117" s="210"/>
      <c r="X117" s="210"/>
      <c r="Y117" s="212"/>
      <c r="Z117" s="210"/>
      <c r="AA117" s="210"/>
      <c r="AB117" s="210"/>
      <c r="AC117" s="212"/>
      <c r="AD117" s="210"/>
      <c r="AE117" s="210"/>
      <c r="AF117" s="210"/>
      <c r="AG117" s="212"/>
      <c r="AH117" s="210"/>
      <c r="AI117" s="148"/>
    </row>
    <row r="118" spans="1:35" ht="16.5" customHeight="1">
      <c r="A118" s="477"/>
      <c r="B118" s="243"/>
      <c r="C118" s="481"/>
      <c r="F118" s="177"/>
      <c r="G118" s="295" t="s">
        <v>813</v>
      </c>
      <c r="H118" s="257"/>
      <c r="I118" s="257" t="s">
        <v>859</v>
      </c>
      <c r="J118" s="257" t="s">
        <v>860</v>
      </c>
      <c r="K118" s="257">
        <v>1468.2</v>
      </c>
      <c r="L118" s="282"/>
      <c r="M118" s="257"/>
      <c r="N118" s="257"/>
      <c r="O118" s="257"/>
      <c r="Q118" s="208"/>
      <c r="R118" s="210"/>
      <c r="S118" s="210"/>
      <c r="T118" s="210"/>
      <c r="U118" s="212"/>
      <c r="V118" s="210"/>
      <c r="W118" s="210"/>
      <c r="X118" s="210"/>
      <c r="Y118" s="212"/>
      <c r="Z118" s="210"/>
      <c r="AA118" s="210"/>
      <c r="AB118" s="210"/>
      <c r="AC118" s="212"/>
      <c r="AD118" s="210"/>
      <c r="AE118" s="210"/>
      <c r="AF118" s="210"/>
      <c r="AG118" s="212"/>
      <c r="AH118" s="210"/>
      <c r="AI118" s="148"/>
    </row>
    <row r="119" spans="1:35" ht="16.5" customHeight="1">
      <c r="A119" s="477"/>
      <c r="B119" s="243"/>
      <c r="C119" s="481"/>
      <c r="F119" s="177"/>
      <c r="G119" s="257"/>
      <c r="H119" s="257"/>
      <c r="I119" s="257"/>
      <c r="J119" s="257"/>
      <c r="K119" s="257"/>
      <c r="L119" s="282"/>
      <c r="M119" s="257"/>
      <c r="N119" s="257"/>
      <c r="O119" s="257"/>
      <c r="Q119" s="208"/>
      <c r="R119" s="210"/>
      <c r="S119" s="210"/>
      <c r="T119" s="210"/>
      <c r="U119" s="212"/>
      <c r="V119" s="210"/>
      <c r="W119" s="210"/>
      <c r="X119" s="210"/>
      <c r="Y119" s="212"/>
      <c r="Z119" s="210"/>
      <c r="AA119" s="210"/>
      <c r="AB119" s="210"/>
      <c r="AC119" s="212"/>
      <c r="AD119" s="210"/>
      <c r="AE119" s="210"/>
      <c r="AF119" s="210"/>
      <c r="AG119" s="212"/>
      <c r="AH119" s="210"/>
      <c r="AI119" s="148"/>
    </row>
    <row r="120" spans="1:35" ht="16.5" customHeight="1">
      <c r="A120" s="478"/>
      <c r="B120" s="243"/>
      <c r="C120" s="482"/>
      <c r="F120" s="177"/>
      <c r="G120" s="257"/>
      <c r="H120" s="257"/>
      <c r="I120" s="257"/>
      <c r="J120" s="257"/>
      <c r="K120" s="257"/>
      <c r="L120" s="282"/>
      <c r="M120" s="257"/>
      <c r="N120" s="257"/>
      <c r="O120" s="257"/>
      <c r="Q120" s="208"/>
      <c r="R120" s="210"/>
      <c r="S120" s="210"/>
      <c r="T120" s="210"/>
      <c r="U120" s="212"/>
      <c r="V120" s="210"/>
      <c r="W120" s="210"/>
      <c r="X120" s="210"/>
      <c r="Y120" s="212"/>
      <c r="Z120" s="210"/>
      <c r="AA120" s="210"/>
      <c r="AB120" s="210"/>
      <c r="AC120" s="212"/>
      <c r="AD120" s="210"/>
      <c r="AE120" s="210"/>
      <c r="AF120" s="210"/>
      <c r="AG120" s="212"/>
      <c r="AH120" s="210"/>
      <c r="AI120" s="148"/>
    </row>
    <row r="121" spans="1:35" ht="16.5" customHeight="1">
      <c r="A121" s="297" t="s">
        <v>404</v>
      </c>
      <c r="B121" s="198"/>
      <c r="C121" s="298" t="s">
        <v>275</v>
      </c>
      <c r="F121" s="200">
        <v>100000</v>
      </c>
      <c r="G121" s="257" t="str">
        <f>Лист1!B27</f>
        <v>UA-P-2020-01-31-016147-a</v>
      </c>
      <c r="H121" s="257">
        <f>F121</f>
        <v>100000</v>
      </c>
      <c r="I121" s="257"/>
      <c r="J121" s="257"/>
      <c r="K121" s="257"/>
      <c r="L121" s="282"/>
      <c r="M121" s="257"/>
      <c r="N121" s="257">
        <f>H121+M121</f>
        <v>100000</v>
      </c>
      <c r="O121" s="257">
        <f>N121-K121</f>
        <v>100000</v>
      </c>
      <c r="P121" s="9" t="s">
        <v>431</v>
      </c>
      <c r="Q121" s="208"/>
      <c r="R121" s="210"/>
      <c r="S121" s="210"/>
      <c r="T121" s="210"/>
      <c r="U121" s="212">
        <f>SUM(R121:T121)</f>
        <v>0</v>
      </c>
      <c r="V121" s="210"/>
      <c r="W121" s="210"/>
      <c r="X121" s="210"/>
      <c r="Y121" s="212">
        <f>SUM(V121:X121)</f>
        <v>0</v>
      </c>
      <c r="Z121" s="210"/>
      <c r="AA121" s="210"/>
      <c r="AB121" s="210"/>
      <c r="AC121" s="212">
        <f>SUM(Z121:AB121)</f>
        <v>0</v>
      </c>
      <c r="AD121" s="210"/>
      <c r="AE121" s="210">
        <v>65610</v>
      </c>
      <c r="AF121" s="210">
        <v>34390</v>
      </c>
      <c r="AG121" s="212">
        <f>SUM(AD121:AF121)</f>
        <v>100000</v>
      </c>
      <c r="AH121" s="210">
        <f>U121+Y121+AC121+AG121</f>
        <v>100000</v>
      </c>
      <c r="AI121" s="148" t="s">
        <v>326</v>
      </c>
    </row>
    <row r="122" spans="1:35" ht="16.5" customHeight="1">
      <c r="A122" s="476" t="s">
        <v>280</v>
      </c>
      <c r="B122" s="239"/>
      <c r="C122" s="408" t="s">
        <v>279</v>
      </c>
      <c r="F122" s="177">
        <v>30000</v>
      </c>
      <c r="G122" s="257" t="str">
        <f>Лист1!B28</f>
        <v>UA-P-2020-01-31-016222-a</v>
      </c>
      <c r="H122" s="257">
        <f>F122</f>
        <v>30000</v>
      </c>
      <c r="I122" s="257"/>
      <c r="J122" s="257"/>
      <c r="K122" s="257"/>
      <c r="L122" s="479" t="s">
        <v>861</v>
      </c>
      <c r="M122" s="257">
        <f>50000+61.95+10000+2301+2805</f>
        <v>65167.95</v>
      </c>
      <c r="N122" s="257">
        <f>H122+M122</f>
        <v>95167.95</v>
      </c>
      <c r="O122" s="257">
        <f>N122-K122-K123-K124-K125-K126-K127-K128-K129-K130-K131-K132-K133-K134-K135</f>
        <v>11562</v>
      </c>
      <c r="Q122" s="208"/>
      <c r="R122" s="210">
        <v>2500</v>
      </c>
      <c r="S122" s="210">
        <v>2500</v>
      </c>
      <c r="T122" s="210">
        <v>2500</v>
      </c>
      <c r="U122" s="212">
        <f>SUM(R122:T122)</f>
        <v>7500</v>
      </c>
      <c r="V122" s="210">
        <v>2500</v>
      </c>
      <c r="W122" s="210">
        <v>2500</v>
      </c>
      <c r="X122" s="210">
        <v>2500</v>
      </c>
      <c r="Y122" s="212">
        <f>SUM(V122:X122)</f>
        <v>7500</v>
      </c>
      <c r="Z122" s="210">
        <v>2500</v>
      </c>
      <c r="AA122" s="210">
        <v>2500</v>
      </c>
      <c r="AB122" s="210">
        <v>2500</v>
      </c>
      <c r="AC122" s="212">
        <f>SUM(Z122:AB122)</f>
        <v>7500</v>
      </c>
      <c r="AD122" s="210">
        <v>2500</v>
      </c>
      <c r="AE122" s="210">
        <v>2500</v>
      </c>
      <c r="AF122" s="210">
        <v>2500</v>
      </c>
      <c r="AG122" s="212">
        <f>SUM(AD122:AF122)</f>
        <v>7500</v>
      </c>
      <c r="AH122" s="210">
        <f>U122+Y122+AC122+AG122</f>
        <v>30000</v>
      </c>
      <c r="AI122" s="148" t="s">
        <v>326</v>
      </c>
    </row>
    <row r="123" spans="1:35" ht="16.5" customHeight="1">
      <c r="A123" s="477"/>
      <c r="B123" s="243"/>
      <c r="C123" s="406"/>
      <c r="F123" s="177"/>
      <c r="G123" s="295" t="s">
        <v>813</v>
      </c>
      <c r="H123" s="257"/>
      <c r="I123" s="257" t="s">
        <v>862</v>
      </c>
      <c r="J123" s="284" t="s">
        <v>863</v>
      </c>
      <c r="K123" s="284">
        <v>44000</v>
      </c>
      <c r="L123" s="479"/>
      <c r="M123" s="257"/>
      <c r="N123" s="257"/>
      <c r="O123" s="257"/>
      <c r="Q123" s="208"/>
      <c r="R123" s="210"/>
      <c r="S123" s="210"/>
      <c r="T123" s="210"/>
      <c r="U123" s="212"/>
      <c r="V123" s="210"/>
      <c r="W123" s="210"/>
      <c r="X123" s="210"/>
      <c r="Y123" s="212"/>
      <c r="Z123" s="210"/>
      <c r="AA123" s="210"/>
      <c r="AB123" s="210"/>
      <c r="AC123" s="212"/>
      <c r="AD123" s="210"/>
      <c r="AE123" s="210"/>
      <c r="AF123" s="210"/>
      <c r="AG123" s="212"/>
      <c r="AH123" s="210"/>
      <c r="AI123" s="148"/>
    </row>
    <row r="124" spans="1:35" ht="16.5" customHeight="1">
      <c r="A124" s="477"/>
      <c r="B124" s="243"/>
      <c r="C124" s="406"/>
      <c r="F124" s="177"/>
      <c r="G124" s="295" t="s">
        <v>813</v>
      </c>
      <c r="H124" s="257"/>
      <c r="I124" s="257" t="s">
        <v>864</v>
      </c>
      <c r="J124" s="284" t="s">
        <v>865</v>
      </c>
      <c r="K124" s="284">
        <v>11203.2</v>
      </c>
      <c r="L124" s="479"/>
      <c r="M124" s="257"/>
      <c r="N124" s="257"/>
      <c r="O124" s="257"/>
      <c r="Q124" s="208"/>
      <c r="R124" s="210"/>
      <c r="S124" s="210"/>
      <c r="T124" s="210"/>
      <c r="U124" s="212"/>
      <c r="V124" s="210"/>
      <c r="W124" s="210"/>
      <c r="X124" s="210"/>
      <c r="Y124" s="212"/>
      <c r="Z124" s="210"/>
      <c r="AA124" s="210"/>
      <c r="AB124" s="210"/>
      <c r="AC124" s="212"/>
      <c r="AD124" s="210"/>
      <c r="AE124" s="210"/>
      <c r="AF124" s="210"/>
      <c r="AG124" s="212"/>
      <c r="AH124" s="210"/>
      <c r="AI124" s="148"/>
    </row>
    <row r="125" spans="1:35" ht="16.5" customHeight="1">
      <c r="A125" s="477"/>
      <c r="B125" s="243"/>
      <c r="C125" s="406"/>
      <c r="F125" s="177"/>
      <c r="G125" s="257"/>
      <c r="H125" s="257"/>
      <c r="I125" s="257" t="s">
        <v>866</v>
      </c>
      <c r="J125" s="284" t="s">
        <v>867</v>
      </c>
      <c r="K125" s="284">
        <v>1695</v>
      </c>
      <c r="L125" s="282"/>
      <c r="M125" s="257"/>
      <c r="N125" s="257"/>
      <c r="O125" s="257"/>
      <c r="Q125" s="208"/>
      <c r="R125" s="210"/>
      <c r="S125" s="210"/>
      <c r="T125" s="210"/>
      <c r="U125" s="212"/>
      <c r="V125" s="210"/>
      <c r="W125" s="210"/>
      <c r="X125" s="210"/>
      <c r="Y125" s="212"/>
      <c r="Z125" s="210"/>
      <c r="AA125" s="210"/>
      <c r="AB125" s="210"/>
      <c r="AC125" s="212"/>
      <c r="AD125" s="210"/>
      <c r="AE125" s="210"/>
      <c r="AF125" s="210"/>
      <c r="AG125" s="212"/>
      <c r="AH125" s="210"/>
      <c r="AI125" s="148"/>
    </row>
    <row r="126" spans="1:35" ht="16.5" customHeight="1">
      <c r="A126" s="477"/>
      <c r="B126" s="243"/>
      <c r="C126" s="406"/>
      <c r="F126" s="177"/>
      <c r="G126" s="295" t="s">
        <v>813</v>
      </c>
      <c r="H126" s="257"/>
      <c r="I126" s="257" t="s">
        <v>868</v>
      </c>
      <c r="J126" s="284" t="s">
        <v>869</v>
      </c>
      <c r="K126" s="284">
        <v>401.75</v>
      </c>
      <c r="L126" s="282"/>
      <c r="M126" s="257"/>
      <c r="N126" s="257"/>
      <c r="O126" s="257"/>
      <c r="Q126" s="208"/>
      <c r="R126" s="210"/>
      <c r="S126" s="210"/>
      <c r="T126" s="210"/>
      <c r="U126" s="212"/>
      <c r="V126" s="210"/>
      <c r="W126" s="210"/>
      <c r="X126" s="210"/>
      <c r="Y126" s="212"/>
      <c r="Z126" s="210"/>
      <c r="AA126" s="210"/>
      <c r="AB126" s="210"/>
      <c r="AC126" s="212"/>
      <c r="AD126" s="210"/>
      <c r="AE126" s="210"/>
      <c r="AF126" s="210"/>
      <c r="AG126" s="212"/>
      <c r="AH126" s="210"/>
      <c r="AI126" s="148"/>
    </row>
    <row r="127" spans="1:35" ht="16.5" customHeight="1">
      <c r="A127" s="477"/>
      <c r="B127" s="243"/>
      <c r="C127" s="406"/>
      <c r="F127" s="177"/>
      <c r="G127" s="295" t="s">
        <v>813</v>
      </c>
      <c r="H127" s="257"/>
      <c r="I127" s="257" t="s">
        <v>870</v>
      </c>
      <c r="J127" s="284" t="s">
        <v>871</v>
      </c>
      <c r="K127" s="284">
        <v>462</v>
      </c>
      <c r="L127" s="282"/>
      <c r="M127" s="257"/>
      <c r="N127" s="257"/>
      <c r="O127" s="257"/>
      <c r="Q127" s="208"/>
      <c r="R127" s="210"/>
      <c r="S127" s="210"/>
      <c r="T127" s="210"/>
      <c r="U127" s="212"/>
      <c r="V127" s="210"/>
      <c r="W127" s="210"/>
      <c r="X127" s="210"/>
      <c r="Y127" s="212"/>
      <c r="Z127" s="210"/>
      <c r="AA127" s="210"/>
      <c r="AB127" s="210"/>
      <c r="AC127" s="212"/>
      <c r="AD127" s="210"/>
      <c r="AE127" s="210"/>
      <c r="AF127" s="210"/>
      <c r="AG127" s="212"/>
      <c r="AH127" s="210"/>
      <c r="AI127" s="148"/>
    </row>
    <row r="128" spans="1:35" ht="16.5" customHeight="1">
      <c r="A128" s="477"/>
      <c r="B128" s="243"/>
      <c r="C128" s="406"/>
      <c r="F128" s="177"/>
      <c r="G128" s="295" t="s">
        <v>813</v>
      </c>
      <c r="H128" s="257"/>
      <c r="I128" s="257" t="s">
        <v>872</v>
      </c>
      <c r="J128" s="284" t="s">
        <v>873</v>
      </c>
      <c r="K128" s="284">
        <v>11200</v>
      </c>
      <c r="L128" s="282"/>
      <c r="M128" s="257"/>
      <c r="N128" s="257"/>
      <c r="O128" s="257"/>
      <c r="Q128" s="208"/>
      <c r="R128" s="210"/>
      <c r="S128" s="210"/>
      <c r="T128" s="210"/>
      <c r="U128" s="212"/>
      <c r="V128" s="210"/>
      <c r="W128" s="210"/>
      <c r="X128" s="210"/>
      <c r="Y128" s="212"/>
      <c r="Z128" s="210"/>
      <c r="AA128" s="210"/>
      <c r="AB128" s="210"/>
      <c r="AC128" s="212"/>
      <c r="AD128" s="210"/>
      <c r="AE128" s="210"/>
      <c r="AF128" s="210"/>
      <c r="AG128" s="212"/>
      <c r="AH128" s="210"/>
      <c r="AI128" s="148"/>
    </row>
    <row r="129" spans="1:35" ht="16.5" customHeight="1">
      <c r="A129" s="477"/>
      <c r="B129" s="243"/>
      <c r="C129" s="406"/>
      <c r="F129" s="177"/>
      <c r="G129" s="295" t="s">
        <v>813</v>
      </c>
      <c r="H129" s="257"/>
      <c r="I129" s="257" t="s">
        <v>874</v>
      </c>
      <c r="J129" s="284" t="s">
        <v>876</v>
      </c>
      <c r="K129" s="284">
        <v>423</v>
      </c>
      <c r="L129" s="282"/>
      <c r="M129" s="257"/>
      <c r="N129" s="257"/>
      <c r="O129" s="257"/>
      <c r="Q129" s="208"/>
      <c r="R129" s="210"/>
      <c r="S129" s="210"/>
      <c r="T129" s="210"/>
      <c r="U129" s="212"/>
      <c r="V129" s="210"/>
      <c r="W129" s="210"/>
      <c r="X129" s="210"/>
      <c r="Y129" s="212"/>
      <c r="Z129" s="210"/>
      <c r="AA129" s="210"/>
      <c r="AB129" s="210"/>
      <c r="AC129" s="212"/>
      <c r="AD129" s="210"/>
      <c r="AE129" s="210"/>
      <c r="AF129" s="210"/>
      <c r="AG129" s="212"/>
      <c r="AH129" s="210"/>
      <c r="AI129" s="148"/>
    </row>
    <row r="130" spans="1:35" ht="16.5" customHeight="1">
      <c r="A130" s="477"/>
      <c r="B130" s="243"/>
      <c r="C130" s="406"/>
      <c r="F130" s="177"/>
      <c r="G130" s="295" t="s">
        <v>813</v>
      </c>
      <c r="H130" s="257"/>
      <c r="I130" s="257" t="s">
        <v>875</v>
      </c>
      <c r="J130" s="284" t="s">
        <v>877</v>
      </c>
      <c r="K130" s="284">
        <v>756</v>
      </c>
      <c r="L130" s="282"/>
      <c r="M130" s="257"/>
      <c r="N130" s="257"/>
      <c r="O130" s="257"/>
      <c r="Q130" s="208"/>
      <c r="R130" s="210"/>
      <c r="S130" s="210"/>
      <c r="T130" s="210"/>
      <c r="U130" s="212"/>
      <c r="V130" s="210"/>
      <c r="W130" s="210"/>
      <c r="X130" s="210"/>
      <c r="Y130" s="212"/>
      <c r="Z130" s="210"/>
      <c r="AA130" s="210"/>
      <c r="AB130" s="210"/>
      <c r="AC130" s="212"/>
      <c r="AD130" s="210"/>
      <c r="AE130" s="210"/>
      <c r="AF130" s="210"/>
      <c r="AG130" s="212"/>
      <c r="AH130" s="210"/>
      <c r="AI130" s="148"/>
    </row>
    <row r="131" spans="1:35" ht="16.5" customHeight="1">
      <c r="A131" s="477"/>
      <c r="B131" s="243"/>
      <c r="C131" s="406"/>
      <c r="F131" s="177"/>
      <c r="G131" s="295" t="s">
        <v>813</v>
      </c>
      <c r="H131" s="257"/>
      <c r="I131" s="257" t="s">
        <v>878</v>
      </c>
      <c r="J131" s="257" t="s">
        <v>879</v>
      </c>
      <c r="K131" s="257">
        <v>3000</v>
      </c>
      <c r="L131" s="282"/>
      <c r="M131" s="257"/>
      <c r="N131" s="257"/>
      <c r="O131" s="257"/>
      <c r="Q131" s="208"/>
      <c r="R131" s="210"/>
      <c r="S131" s="210"/>
      <c r="T131" s="210"/>
      <c r="U131" s="212"/>
      <c r="V131" s="210"/>
      <c r="W131" s="210"/>
      <c r="X131" s="210"/>
      <c r="Y131" s="212"/>
      <c r="Z131" s="210"/>
      <c r="AA131" s="210"/>
      <c r="AB131" s="210"/>
      <c r="AC131" s="212"/>
      <c r="AD131" s="210"/>
      <c r="AE131" s="210"/>
      <c r="AF131" s="210"/>
      <c r="AG131" s="212"/>
      <c r="AH131" s="210"/>
      <c r="AI131" s="148"/>
    </row>
    <row r="132" spans="1:35" ht="16.5" customHeight="1">
      <c r="A132" s="477"/>
      <c r="B132" s="243"/>
      <c r="C132" s="406"/>
      <c r="F132" s="177"/>
      <c r="G132" s="295" t="s">
        <v>813</v>
      </c>
      <c r="H132" s="257"/>
      <c r="I132" s="257" t="s">
        <v>880</v>
      </c>
      <c r="J132" s="257" t="s">
        <v>881</v>
      </c>
      <c r="K132" s="257">
        <v>140</v>
      </c>
      <c r="L132" s="282"/>
      <c r="M132" s="257"/>
      <c r="N132" s="257"/>
      <c r="O132" s="257"/>
      <c r="Q132" s="208"/>
      <c r="R132" s="210"/>
      <c r="S132" s="210"/>
      <c r="T132" s="210"/>
      <c r="U132" s="212"/>
      <c r="V132" s="210"/>
      <c r="W132" s="210"/>
      <c r="X132" s="210"/>
      <c r="Y132" s="212"/>
      <c r="Z132" s="210"/>
      <c r="AA132" s="210"/>
      <c r="AB132" s="210"/>
      <c r="AC132" s="212"/>
      <c r="AD132" s="210"/>
      <c r="AE132" s="210"/>
      <c r="AF132" s="210"/>
      <c r="AG132" s="212"/>
      <c r="AH132" s="210"/>
      <c r="AI132" s="148"/>
    </row>
    <row r="133" spans="1:35" ht="16.5" customHeight="1">
      <c r="A133" s="477"/>
      <c r="B133" s="243"/>
      <c r="C133" s="406"/>
      <c r="F133" s="177"/>
      <c r="G133" s="295" t="s">
        <v>813</v>
      </c>
      <c r="H133" s="257"/>
      <c r="I133" s="257" t="s">
        <v>882</v>
      </c>
      <c r="J133" s="257" t="s">
        <v>883</v>
      </c>
      <c r="K133" s="257">
        <v>325</v>
      </c>
      <c r="L133" s="282"/>
      <c r="M133" s="257"/>
      <c r="N133" s="257"/>
      <c r="O133" s="257"/>
      <c r="Q133" s="208"/>
      <c r="R133" s="210"/>
      <c r="S133" s="210"/>
      <c r="T133" s="210"/>
      <c r="U133" s="212"/>
      <c r="V133" s="210"/>
      <c r="W133" s="210"/>
      <c r="X133" s="210"/>
      <c r="Y133" s="212"/>
      <c r="Z133" s="210"/>
      <c r="AA133" s="210"/>
      <c r="AB133" s="210"/>
      <c r="AC133" s="212"/>
      <c r="AD133" s="210"/>
      <c r="AE133" s="210"/>
      <c r="AF133" s="210"/>
      <c r="AG133" s="212"/>
      <c r="AH133" s="210"/>
      <c r="AI133" s="148"/>
    </row>
    <row r="134" spans="1:35" ht="16.5" customHeight="1">
      <c r="A134" s="477"/>
      <c r="B134" s="243"/>
      <c r="C134" s="406"/>
      <c r="F134" s="177"/>
      <c r="G134" s="295" t="s">
        <v>813</v>
      </c>
      <c r="H134" s="257"/>
      <c r="I134" s="257" t="s">
        <v>884</v>
      </c>
      <c r="J134" s="257" t="s">
        <v>885</v>
      </c>
      <c r="K134" s="257">
        <v>10000</v>
      </c>
      <c r="L134" s="282"/>
      <c r="M134" s="257"/>
      <c r="N134" s="257"/>
      <c r="O134" s="257"/>
      <c r="Q134" s="208"/>
      <c r="R134" s="210"/>
      <c r="S134" s="210"/>
      <c r="T134" s="210"/>
      <c r="U134" s="212"/>
      <c r="V134" s="210"/>
      <c r="W134" s="210"/>
      <c r="X134" s="210"/>
      <c r="Y134" s="212"/>
      <c r="Z134" s="210"/>
      <c r="AA134" s="210"/>
      <c r="AB134" s="210"/>
      <c r="AC134" s="212"/>
      <c r="AD134" s="210"/>
      <c r="AE134" s="210"/>
      <c r="AF134" s="210"/>
      <c r="AG134" s="212"/>
      <c r="AH134" s="210"/>
      <c r="AI134" s="148"/>
    </row>
    <row r="135" spans="1:35" ht="16.5" customHeight="1">
      <c r="A135" s="478"/>
      <c r="B135" s="243"/>
      <c r="C135" s="407"/>
      <c r="F135" s="177"/>
      <c r="G135" s="257"/>
      <c r="H135" s="257"/>
      <c r="I135" s="257"/>
      <c r="J135" s="257"/>
      <c r="K135" s="257"/>
      <c r="L135" s="282"/>
      <c r="M135" s="257"/>
      <c r="N135" s="257"/>
      <c r="O135" s="257"/>
      <c r="Q135" s="208"/>
      <c r="R135" s="210"/>
      <c r="S135" s="210"/>
      <c r="T135" s="210"/>
      <c r="U135" s="212"/>
      <c r="V135" s="210"/>
      <c r="W135" s="210"/>
      <c r="X135" s="210"/>
      <c r="Y135" s="212"/>
      <c r="Z135" s="210"/>
      <c r="AA135" s="210"/>
      <c r="AB135" s="210"/>
      <c r="AC135" s="212"/>
      <c r="AD135" s="210"/>
      <c r="AE135" s="210"/>
      <c r="AF135" s="210"/>
      <c r="AG135" s="212"/>
      <c r="AH135" s="210"/>
      <c r="AI135" s="148"/>
    </row>
    <row r="136" spans="1:35" ht="31.5">
      <c r="A136" s="218" t="s">
        <v>402</v>
      </c>
      <c r="B136" s="198"/>
      <c r="C136" s="8" t="s">
        <v>401</v>
      </c>
      <c r="F136" s="200">
        <v>400000</v>
      </c>
      <c r="G136" s="257" t="str">
        <f>Лист1!B7</f>
        <v>UA-P-2020-01-15-003371-b</v>
      </c>
      <c r="H136" s="257">
        <f>F136</f>
        <v>400000</v>
      </c>
      <c r="I136" s="257"/>
      <c r="J136" s="257" t="str">
        <f>Лист1!D7</f>
        <v>UA-2020-01-15-001695-c</v>
      </c>
      <c r="K136" s="257">
        <v>108496.8</v>
      </c>
      <c r="L136" s="282"/>
      <c r="M136" s="257"/>
      <c r="N136" s="257">
        <f>H136+M136</f>
        <v>400000</v>
      </c>
      <c r="O136" s="257">
        <f>N136-K136</f>
        <v>291503.2</v>
      </c>
      <c r="P136" s="9" t="s">
        <v>432</v>
      </c>
      <c r="Q136" s="208"/>
      <c r="R136" s="210"/>
      <c r="S136" s="210"/>
      <c r="T136" s="210"/>
      <c r="U136" s="212">
        <f>SUM(R136:T136)</f>
        <v>0</v>
      </c>
      <c r="V136" s="210">
        <v>100000</v>
      </c>
      <c r="W136" s="210"/>
      <c r="X136" s="210">
        <v>60000</v>
      </c>
      <c r="Y136" s="212">
        <f>SUM(V136:X136)</f>
        <v>160000</v>
      </c>
      <c r="Z136" s="210">
        <v>63000</v>
      </c>
      <c r="AA136" s="210">
        <v>60000</v>
      </c>
      <c r="AB136" s="210">
        <v>60000</v>
      </c>
      <c r="AC136" s="212">
        <f>SUM(Z136:AB136)</f>
        <v>183000</v>
      </c>
      <c r="AD136" s="210">
        <v>57000</v>
      </c>
      <c r="AE136" s="210"/>
      <c r="AF136" s="210"/>
      <c r="AG136" s="212">
        <f>SUM(AD136:AF136)</f>
        <v>57000</v>
      </c>
      <c r="AH136" s="210">
        <f>U136+Y136+AC136+AG136</f>
        <v>400000</v>
      </c>
      <c r="AI136" s="148" t="s">
        <v>327</v>
      </c>
    </row>
    <row r="137" spans="1:35" ht="16.5" customHeight="1">
      <c r="A137" s="476" t="s">
        <v>391</v>
      </c>
      <c r="B137" s="239"/>
      <c r="C137" s="408" t="s">
        <v>40</v>
      </c>
      <c r="F137" s="177">
        <f>90000</f>
        <v>90000</v>
      </c>
      <c r="G137" s="257" t="str">
        <f>Лист1!B29</f>
        <v>UA-P-2020-01-31-016174-a</v>
      </c>
      <c r="H137" s="257">
        <f>F137</f>
        <v>90000</v>
      </c>
      <c r="I137" s="257"/>
      <c r="J137" s="257"/>
      <c r="K137" s="286"/>
      <c r="L137" s="282">
        <v>43949</v>
      </c>
      <c r="M137" s="257">
        <v>-61.95</v>
      </c>
      <c r="N137" s="257">
        <f>H137+M137</f>
        <v>89938.05</v>
      </c>
      <c r="O137" s="257">
        <f>N137-K137-K138-K139-K140-K141-K142-K143-K144-K145-K146-K147-K148-K149-K150</f>
        <v>37871.759999999995</v>
      </c>
      <c r="Q137" s="208"/>
      <c r="R137" s="210">
        <v>7500</v>
      </c>
      <c r="S137" s="210">
        <v>7500</v>
      </c>
      <c r="T137" s="210">
        <v>8500</v>
      </c>
      <c r="U137" s="212">
        <f>SUM(R137:T137)</f>
        <v>23500</v>
      </c>
      <c r="V137" s="210">
        <v>11500</v>
      </c>
      <c r="W137" s="210">
        <v>7500</v>
      </c>
      <c r="X137" s="210">
        <v>7500</v>
      </c>
      <c r="Y137" s="212">
        <f>SUM(V137:X137)</f>
        <v>26500</v>
      </c>
      <c r="Z137" s="210">
        <v>6500</v>
      </c>
      <c r="AA137" s="210">
        <v>7500</v>
      </c>
      <c r="AB137" s="210">
        <v>7500</v>
      </c>
      <c r="AC137" s="212">
        <f>SUM(Z137:AB137)</f>
        <v>21500</v>
      </c>
      <c r="AD137" s="210">
        <v>7500</v>
      </c>
      <c r="AE137" s="210">
        <v>7500</v>
      </c>
      <c r="AF137" s="210">
        <f>7500-4000</f>
        <v>3500</v>
      </c>
      <c r="AG137" s="212">
        <f>SUM(AD137:AF137)</f>
        <v>18500</v>
      </c>
      <c r="AH137" s="210">
        <f>U137+Y137+AC137+AG137</f>
        <v>90000</v>
      </c>
      <c r="AI137" s="148" t="s">
        <v>326</v>
      </c>
    </row>
    <row r="138" spans="1:35" ht="16.5" customHeight="1">
      <c r="A138" s="477"/>
      <c r="B138" s="243"/>
      <c r="C138" s="406"/>
      <c r="F138" s="177"/>
      <c r="G138" s="257"/>
      <c r="H138" s="257"/>
      <c r="I138" s="257" t="s">
        <v>886</v>
      </c>
      <c r="J138" s="284" t="s">
        <v>887</v>
      </c>
      <c r="K138" s="284">
        <v>343.92</v>
      </c>
      <c r="L138" s="282"/>
      <c r="M138" s="257"/>
      <c r="N138" s="257"/>
      <c r="O138" s="257"/>
      <c r="Q138" s="208"/>
      <c r="R138" s="210"/>
      <c r="S138" s="210"/>
      <c r="T138" s="210"/>
      <c r="U138" s="212"/>
      <c r="V138" s="210"/>
      <c r="W138" s="210"/>
      <c r="X138" s="210"/>
      <c r="Y138" s="212"/>
      <c r="Z138" s="210"/>
      <c r="AA138" s="210"/>
      <c r="AB138" s="210"/>
      <c r="AC138" s="212"/>
      <c r="AD138" s="210"/>
      <c r="AE138" s="210"/>
      <c r="AF138" s="210"/>
      <c r="AG138" s="212"/>
      <c r="AH138" s="210"/>
      <c r="AI138" s="148"/>
    </row>
    <row r="139" spans="1:35" ht="16.5" customHeight="1">
      <c r="A139" s="477"/>
      <c r="B139" s="243"/>
      <c r="C139" s="406"/>
      <c r="F139" s="177"/>
      <c r="G139" s="257"/>
      <c r="H139" s="257"/>
      <c r="I139" s="257" t="s">
        <v>888</v>
      </c>
      <c r="J139" s="284" t="s">
        <v>889</v>
      </c>
      <c r="K139" s="284">
        <v>4838.4</v>
      </c>
      <c r="L139" s="282"/>
      <c r="M139" s="257"/>
      <c r="N139" s="257"/>
      <c r="O139" s="257"/>
      <c r="Q139" s="208"/>
      <c r="R139" s="210"/>
      <c r="S139" s="210"/>
      <c r="T139" s="210"/>
      <c r="U139" s="212"/>
      <c r="V139" s="210"/>
      <c r="W139" s="210"/>
      <c r="X139" s="210"/>
      <c r="Y139" s="212"/>
      <c r="Z139" s="210"/>
      <c r="AA139" s="210"/>
      <c r="AB139" s="210"/>
      <c r="AC139" s="212"/>
      <c r="AD139" s="210"/>
      <c r="AE139" s="210"/>
      <c r="AF139" s="210"/>
      <c r="AG139" s="212"/>
      <c r="AH139" s="210"/>
      <c r="AI139" s="148"/>
    </row>
    <row r="140" spans="1:35" ht="16.5" customHeight="1">
      <c r="A140" s="477"/>
      <c r="B140" s="243"/>
      <c r="C140" s="406"/>
      <c r="F140" s="177"/>
      <c r="G140" s="257"/>
      <c r="H140" s="257"/>
      <c r="I140" s="257" t="s">
        <v>890</v>
      </c>
      <c r="J140" s="284" t="s">
        <v>891</v>
      </c>
      <c r="K140" s="284">
        <v>2565.96</v>
      </c>
      <c r="L140" s="282"/>
      <c r="M140" s="257"/>
      <c r="N140" s="257"/>
      <c r="O140" s="257"/>
      <c r="Q140" s="208"/>
      <c r="R140" s="210"/>
      <c r="S140" s="210"/>
      <c r="T140" s="210"/>
      <c r="U140" s="212"/>
      <c r="V140" s="210"/>
      <c r="W140" s="210"/>
      <c r="X140" s="210"/>
      <c r="Y140" s="212"/>
      <c r="Z140" s="210"/>
      <c r="AA140" s="210"/>
      <c r="AB140" s="210"/>
      <c r="AC140" s="212"/>
      <c r="AD140" s="210"/>
      <c r="AE140" s="210"/>
      <c r="AF140" s="210"/>
      <c r="AG140" s="212"/>
      <c r="AH140" s="210"/>
      <c r="AI140" s="148"/>
    </row>
    <row r="141" spans="1:35" ht="16.5" customHeight="1">
      <c r="A141" s="477"/>
      <c r="B141" s="243"/>
      <c r="C141" s="406"/>
      <c r="F141" s="177"/>
      <c r="G141" s="257"/>
      <c r="H141" s="257"/>
      <c r="I141" s="257" t="s">
        <v>892</v>
      </c>
      <c r="J141" s="284" t="s">
        <v>893</v>
      </c>
      <c r="K141" s="284">
        <v>13038.6</v>
      </c>
      <c r="L141" s="282"/>
      <c r="M141" s="257"/>
      <c r="N141" s="257"/>
      <c r="O141" s="257"/>
      <c r="Q141" s="208"/>
      <c r="R141" s="210"/>
      <c r="S141" s="210"/>
      <c r="T141" s="210"/>
      <c r="U141" s="212"/>
      <c r="V141" s="210"/>
      <c r="W141" s="210"/>
      <c r="X141" s="210"/>
      <c r="Y141" s="212"/>
      <c r="Z141" s="210"/>
      <c r="AA141" s="210"/>
      <c r="AB141" s="210"/>
      <c r="AC141" s="212"/>
      <c r="AD141" s="210"/>
      <c r="AE141" s="210"/>
      <c r="AF141" s="210"/>
      <c r="AG141" s="212"/>
      <c r="AH141" s="210"/>
      <c r="AI141" s="148"/>
    </row>
    <row r="142" spans="1:35" ht="16.5" customHeight="1">
      <c r="A142" s="477"/>
      <c r="B142" s="243"/>
      <c r="C142" s="406"/>
      <c r="F142" s="177"/>
      <c r="G142" s="257"/>
      <c r="H142" s="257"/>
      <c r="I142" s="257" t="s">
        <v>894</v>
      </c>
      <c r="J142" s="284" t="s">
        <v>895</v>
      </c>
      <c r="K142" s="284">
        <v>1600</v>
      </c>
      <c r="L142" s="282"/>
      <c r="M142" s="257"/>
      <c r="N142" s="257"/>
      <c r="O142" s="257"/>
      <c r="Q142" s="208"/>
      <c r="R142" s="210"/>
      <c r="S142" s="210"/>
      <c r="T142" s="210"/>
      <c r="U142" s="212"/>
      <c r="V142" s="210"/>
      <c r="W142" s="210"/>
      <c r="X142" s="210"/>
      <c r="Y142" s="212"/>
      <c r="Z142" s="210"/>
      <c r="AA142" s="210"/>
      <c r="AB142" s="210"/>
      <c r="AC142" s="212"/>
      <c r="AD142" s="210"/>
      <c r="AE142" s="210"/>
      <c r="AF142" s="210"/>
      <c r="AG142" s="212"/>
      <c r="AH142" s="210"/>
      <c r="AI142" s="148"/>
    </row>
    <row r="143" spans="1:35" ht="16.5" customHeight="1">
      <c r="A143" s="477"/>
      <c r="B143" s="243"/>
      <c r="C143" s="406"/>
      <c r="F143" s="177"/>
      <c r="G143" s="295" t="s">
        <v>813</v>
      </c>
      <c r="H143" s="257"/>
      <c r="I143" s="257" t="s">
        <v>896</v>
      </c>
      <c r="J143" s="284" t="s">
        <v>897</v>
      </c>
      <c r="K143" s="284">
        <v>2973.1</v>
      </c>
      <c r="L143" s="282"/>
      <c r="M143" s="257"/>
      <c r="N143" s="257"/>
      <c r="O143" s="257"/>
      <c r="Q143" s="208"/>
      <c r="R143" s="210"/>
      <c r="S143" s="210"/>
      <c r="T143" s="210"/>
      <c r="U143" s="212"/>
      <c r="V143" s="210"/>
      <c r="W143" s="210"/>
      <c r="X143" s="210"/>
      <c r="Y143" s="212"/>
      <c r="Z143" s="210"/>
      <c r="AA143" s="210"/>
      <c r="AB143" s="210"/>
      <c r="AC143" s="212"/>
      <c r="AD143" s="210"/>
      <c r="AE143" s="210"/>
      <c r="AF143" s="210"/>
      <c r="AG143" s="212"/>
      <c r="AH143" s="210"/>
      <c r="AI143" s="148"/>
    </row>
    <row r="144" spans="1:35" ht="16.5" customHeight="1">
      <c r="A144" s="477"/>
      <c r="B144" s="243"/>
      <c r="C144" s="406"/>
      <c r="F144" s="177"/>
      <c r="G144" s="295" t="s">
        <v>813</v>
      </c>
      <c r="H144" s="257"/>
      <c r="I144" s="257" t="s">
        <v>898</v>
      </c>
      <c r="J144" s="284" t="s">
        <v>899</v>
      </c>
      <c r="K144" s="284">
        <v>4838.4</v>
      </c>
      <c r="L144" s="282"/>
      <c r="M144" s="257"/>
      <c r="N144" s="257"/>
      <c r="O144" s="257"/>
      <c r="Q144" s="208"/>
      <c r="R144" s="210"/>
      <c r="S144" s="210"/>
      <c r="T144" s="210"/>
      <c r="U144" s="212"/>
      <c r="V144" s="210"/>
      <c r="W144" s="210"/>
      <c r="X144" s="210"/>
      <c r="Y144" s="212"/>
      <c r="Z144" s="210"/>
      <c r="AA144" s="210"/>
      <c r="AB144" s="210"/>
      <c r="AC144" s="212"/>
      <c r="AD144" s="210"/>
      <c r="AE144" s="210"/>
      <c r="AF144" s="210"/>
      <c r="AG144" s="212"/>
      <c r="AH144" s="210"/>
      <c r="AI144" s="148"/>
    </row>
    <row r="145" spans="1:35" ht="16.5" customHeight="1">
      <c r="A145" s="477"/>
      <c r="B145" s="243"/>
      <c r="C145" s="406"/>
      <c r="F145" s="177"/>
      <c r="G145" s="295"/>
      <c r="H145" s="257"/>
      <c r="I145" s="257" t="s">
        <v>900</v>
      </c>
      <c r="J145" s="284" t="s">
        <v>901</v>
      </c>
      <c r="K145" s="284">
        <v>1600</v>
      </c>
      <c r="L145" s="282"/>
      <c r="M145" s="257"/>
      <c r="N145" s="257"/>
      <c r="O145" s="257"/>
      <c r="Q145" s="208"/>
      <c r="R145" s="210"/>
      <c r="S145" s="210"/>
      <c r="T145" s="210"/>
      <c r="U145" s="212"/>
      <c r="V145" s="210"/>
      <c r="W145" s="210"/>
      <c r="X145" s="210"/>
      <c r="Y145" s="212"/>
      <c r="Z145" s="210"/>
      <c r="AA145" s="210"/>
      <c r="AB145" s="210"/>
      <c r="AC145" s="212"/>
      <c r="AD145" s="210"/>
      <c r="AE145" s="210"/>
      <c r="AF145" s="210"/>
      <c r="AG145" s="212"/>
      <c r="AH145" s="210"/>
      <c r="AI145" s="148"/>
    </row>
    <row r="146" spans="1:35" ht="16.5" customHeight="1">
      <c r="A146" s="477"/>
      <c r="B146" s="243"/>
      <c r="C146" s="406"/>
      <c r="F146" s="177"/>
      <c r="G146" s="295" t="s">
        <v>813</v>
      </c>
      <c r="H146" s="257"/>
      <c r="I146" s="257" t="s">
        <v>902</v>
      </c>
      <c r="J146" s="284" t="s">
        <v>903</v>
      </c>
      <c r="K146" s="284">
        <v>4800</v>
      </c>
      <c r="L146" s="282"/>
      <c r="M146" s="257"/>
      <c r="N146" s="257"/>
      <c r="O146" s="257"/>
      <c r="Q146" s="208"/>
      <c r="R146" s="210"/>
      <c r="S146" s="210"/>
      <c r="T146" s="210"/>
      <c r="U146" s="212"/>
      <c r="V146" s="210"/>
      <c r="W146" s="210"/>
      <c r="X146" s="210"/>
      <c r="Y146" s="212"/>
      <c r="Z146" s="210"/>
      <c r="AA146" s="210"/>
      <c r="AB146" s="210"/>
      <c r="AC146" s="212"/>
      <c r="AD146" s="210"/>
      <c r="AE146" s="210"/>
      <c r="AF146" s="210"/>
      <c r="AG146" s="212"/>
      <c r="AH146" s="210"/>
      <c r="AI146" s="148"/>
    </row>
    <row r="147" spans="1:35" ht="16.5" customHeight="1">
      <c r="A147" s="477"/>
      <c r="B147" s="243"/>
      <c r="C147" s="406"/>
      <c r="F147" s="177"/>
      <c r="G147" s="295" t="s">
        <v>813</v>
      </c>
      <c r="H147" s="257"/>
      <c r="I147" s="257" t="s">
        <v>904</v>
      </c>
      <c r="J147" s="284" t="s">
        <v>905</v>
      </c>
      <c r="K147" s="284">
        <v>5610</v>
      </c>
      <c r="L147" s="282"/>
      <c r="M147" s="257"/>
      <c r="N147" s="257"/>
      <c r="O147" s="257"/>
      <c r="Q147" s="208"/>
      <c r="R147" s="210"/>
      <c r="S147" s="210"/>
      <c r="T147" s="210"/>
      <c r="U147" s="212"/>
      <c r="V147" s="210"/>
      <c r="W147" s="210"/>
      <c r="X147" s="210"/>
      <c r="Y147" s="212"/>
      <c r="Z147" s="210"/>
      <c r="AA147" s="210"/>
      <c r="AB147" s="210"/>
      <c r="AC147" s="212"/>
      <c r="AD147" s="210"/>
      <c r="AE147" s="210"/>
      <c r="AF147" s="210"/>
      <c r="AG147" s="212"/>
      <c r="AH147" s="210"/>
      <c r="AI147" s="148"/>
    </row>
    <row r="148" spans="1:35" ht="16.5" customHeight="1">
      <c r="A148" s="477"/>
      <c r="B148" s="243"/>
      <c r="C148" s="406"/>
      <c r="F148" s="177"/>
      <c r="G148" s="295" t="s">
        <v>813</v>
      </c>
      <c r="H148" s="257"/>
      <c r="I148" s="257" t="s">
        <v>906</v>
      </c>
      <c r="J148" s="284" t="s">
        <v>907</v>
      </c>
      <c r="K148" s="284">
        <v>9240</v>
      </c>
      <c r="L148" s="282"/>
      <c r="M148" s="257"/>
      <c r="N148" s="257"/>
      <c r="O148" s="257"/>
      <c r="Q148" s="208"/>
      <c r="R148" s="210"/>
      <c r="S148" s="210"/>
      <c r="T148" s="210"/>
      <c r="U148" s="212"/>
      <c r="V148" s="210"/>
      <c r="W148" s="210"/>
      <c r="X148" s="210"/>
      <c r="Y148" s="212"/>
      <c r="Z148" s="210"/>
      <c r="AA148" s="210"/>
      <c r="AB148" s="210"/>
      <c r="AC148" s="212"/>
      <c r="AD148" s="210"/>
      <c r="AE148" s="210"/>
      <c r="AF148" s="210"/>
      <c r="AG148" s="212"/>
      <c r="AH148" s="210"/>
      <c r="AI148" s="148"/>
    </row>
    <row r="149" spans="1:35" ht="16.5" customHeight="1">
      <c r="A149" s="477"/>
      <c r="B149" s="243"/>
      <c r="C149" s="406"/>
      <c r="F149" s="177"/>
      <c r="G149" s="295" t="s">
        <v>813</v>
      </c>
      <c r="H149" s="257"/>
      <c r="I149" s="257" t="s">
        <v>908</v>
      </c>
      <c r="J149" s="284" t="s">
        <v>909</v>
      </c>
      <c r="K149" s="284">
        <v>617.91</v>
      </c>
      <c r="L149" s="282"/>
      <c r="M149" s="257"/>
      <c r="N149" s="257"/>
      <c r="O149" s="257"/>
      <c r="Q149" s="208"/>
      <c r="R149" s="210"/>
      <c r="S149" s="210"/>
      <c r="T149" s="210"/>
      <c r="U149" s="212"/>
      <c r="V149" s="210"/>
      <c r="W149" s="210"/>
      <c r="X149" s="210"/>
      <c r="Y149" s="212"/>
      <c r="Z149" s="210"/>
      <c r="AA149" s="210"/>
      <c r="AB149" s="210"/>
      <c r="AC149" s="212"/>
      <c r="AD149" s="210"/>
      <c r="AE149" s="210"/>
      <c r="AF149" s="210"/>
      <c r="AG149" s="212"/>
      <c r="AH149" s="210"/>
      <c r="AI149" s="148"/>
    </row>
    <row r="150" spans="1:35" ht="16.5" customHeight="1">
      <c r="A150" s="478"/>
      <c r="B150" s="243"/>
      <c r="C150" s="407"/>
      <c r="F150" s="177"/>
      <c r="G150" s="257"/>
      <c r="H150" s="257"/>
      <c r="I150" s="257"/>
      <c r="J150" s="257"/>
      <c r="K150" s="257"/>
      <c r="L150" s="282"/>
      <c r="M150" s="257"/>
      <c r="N150" s="257"/>
      <c r="O150" s="257"/>
      <c r="Q150" s="208"/>
      <c r="R150" s="210"/>
      <c r="S150" s="210"/>
      <c r="T150" s="210"/>
      <c r="U150" s="212"/>
      <c r="V150" s="210"/>
      <c r="W150" s="210"/>
      <c r="X150" s="210"/>
      <c r="Y150" s="212"/>
      <c r="Z150" s="210"/>
      <c r="AA150" s="210"/>
      <c r="AB150" s="210"/>
      <c r="AC150" s="212"/>
      <c r="AD150" s="210"/>
      <c r="AE150" s="210"/>
      <c r="AF150" s="210"/>
      <c r="AG150" s="212"/>
      <c r="AH150" s="210"/>
      <c r="AI150" s="148"/>
    </row>
    <row r="151" spans="1:35" ht="16.5" customHeight="1">
      <c r="A151" s="218" t="s">
        <v>910</v>
      </c>
      <c r="B151" s="239"/>
      <c r="C151" s="196" t="s">
        <v>40</v>
      </c>
      <c r="F151" s="200">
        <v>100000</v>
      </c>
      <c r="G151" s="257" t="str">
        <f>Лист1!B30</f>
        <v>UA-P-2020-01-31-016154-a</v>
      </c>
      <c r="H151" s="257">
        <f>F151</f>
        <v>100000</v>
      </c>
      <c r="I151" s="257"/>
      <c r="J151" s="257"/>
      <c r="K151" s="257"/>
      <c r="L151" s="282"/>
      <c r="M151" s="257"/>
      <c r="N151" s="257">
        <f>H151+M151</f>
        <v>100000</v>
      </c>
      <c r="O151" s="257">
        <f>N151-K151</f>
        <v>100000</v>
      </c>
      <c r="P151" s="9" t="s">
        <v>430</v>
      </c>
      <c r="Q151" s="208"/>
      <c r="R151" s="210"/>
      <c r="S151" s="210"/>
      <c r="T151" s="210"/>
      <c r="U151" s="212">
        <f>SUM(R151:T151)</f>
        <v>0</v>
      </c>
      <c r="V151" s="210"/>
      <c r="W151" s="210">
        <v>40000</v>
      </c>
      <c r="X151" s="210"/>
      <c r="Y151" s="212">
        <f>SUM(V151:X151)</f>
        <v>40000</v>
      </c>
      <c r="Z151" s="210"/>
      <c r="AA151" s="210"/>
      <c r="AB151" s="210"/>
      <c r="AC151" s="212">
        <f>SUM(Z151:AB151)</f>
        <v>0</v>
      </c>
      <c r="AD151" s="210">
        <v>32100</v>
      </c>
      <c r="AE151" s="210">
        <v>27900</v>
      </c>
      <c r="AF151" s="210"/>
      <c r="AG151" s="212">
        <f>SUM(AD151:AF151)</f>
        <v>60000</v>
      </c>
      <c r="AH151" s="210">
        <f>U151+Y151+AC151+AG151</f>
        <v>100000</v>
      </c>
      <c r="AI151" s="148" t="s">
        <v>326</v>
      </c>
    </row>
    <row r="152" spans="1:35" s="215" customFormat="1" ht="16.5" customHeight="1">
      <c r="A152" s="213"/>
      <c r="B152" s="213"/>
      <c r="C152" s="214"/>
      <c r="F152" s="173">
        <f>SUM(F84:F151)</f>
        <v>988000</v>
      </c>
      <c r="G152" s="258"/>
      <c r="H152" s="258"/>
      <c r="I152" s="258"/>
      <c r="J152" s="258"/>
      <c r="K152" s="258"/>
      <c r="L152" s="282"/>
      <c r="M152" s="258"/>
      <c r="N152" s="257"/>
      <c r="O152" s="257"/>
      <c r="R152" s="216">
        <f>SUM(R84:R151)</f>
        <v>30400</v>
      </c>
      <c r="S152" s="216">
        <f>SUM(S84:S151)</f>
        <v>32800</v>
      </c>
      <c r="T152" s="216">
        <f>SUM(T84:T151)</f>
        <v>33800</v>
      </c>
      <c r="U152" s="216">
        <f>SUM(R152:T152)</f>
        <v>97000</v>
      </c>
      <c r="V152" s="216">
        <f>SUM(V84:V151)</f>
        <v>136800</v>
      </c>
      <c r="W152" s="216">
        <f>SUM(W84:W151)</f>
        <v>72800</v>
      </c>
      <c r="X152" s="216">
        <f>SUM(X84:X151)</f>
        <v>90400</v>
      </c>
      <c r="Y152" s="216">
        <f>SUM(V152:X152)</f>
        <v>300000</v>
      </c>
      <c r="Z152" s="216">
        <f>SUM(Z84:Z151)</f>
        <v>94800</v>
      </c>
      <c r="AA152" s="216">
        <f>SUM(AA84:AA151)</f>
        <v>92400</v>
      </c>
      <c r="AB152" s="216">
        <f>SUM(AB84:AB151)</f>
        <v>92800</v>
      </c>
      <c r="AC152" s="216">
        <f>SUM(Z152:AB152)</f>
        <v>280000</v>
      </c>
      <c r="AD152" s="216">
        <f>SUM(AD84:AD151)</f>
        <v>121900</v>
      </c>
      <c r="AE152" s="216">
        <f>SUM(AE84:AE151)</f>
        <v>126310</v>
      </c>
      <c r="AF152" s="216">
        <f>SUM(AF84:AF151)</f>
        <v>62790</v>
      </c>
      <c r="AG152" s="216">
        <f>SUM(AD152:AF152)</f>
        <v>311000</v>
      </c>
      <c r="AH152" s="216">
        <f>U152+Y152+AC152+AG152</f>
        <v>988000</v>
      </c>
      <c r="AI152" s="217"/>
    </row>
    <row r="153" spans="1:35" ht="16.5" customHeight="1">
      <c r="A153" s="218" t="s">
        <v>396</v>
      </c>
      <c r="B153" s="8">
        <v>230</v>
      </c>
      <c r="C153" s="8" t="s">
        <v>50</v>
      </c>
      <c r="F153" s="177">
        <v>150000</v>
      </c>
      <c r="G153" s="257" t="str">
        <f>Лист1!B58</f>
        <v>UA-P-2020-01-31-016167-a</v>
      </c>
      <c r="H153" s="257">
        <f>F153</f>
        <v>150000</v>
      </c>
      <c r="I153" s="257"/>
      <c r="J153" s="257"/>
      <c r="K153" s="257"/>
      <c r="L153" s="479" t="s">
        <v>911</v>
      </c>
      <c r="M153" s="257">
        <f>-4322.21-50000-8300-980-2100-51226-10000</f>
        <v>-126928.20999999999</v>
      </c>
      <c r="N153" s="257">
        <f>H153+M153</f>
        <v>23071.790000000008</v>
      </c>
      <c r="O153" s="257">
        <f>N153-K153</f>
        <v>23071.790000000008</v>
      </c>
      <c r="Q153" s="208"/>
      <c r="R153" s="210">
        <v>0</v>
      </c>
      <c r="S153" s="210"/>
      <c r="T153" s="210"/>
      <c r="U153" s="212">
        <f>SUM(R153:T153)</f>
        <v>0</v>
      </c>
      <c r="V153" s="210"/>
      <c r="W153" s="210"/>
      <c r="X153" s="210"/>
      <c r="Y153" s="212">
        <f>SUM(V153:X153)</f>
        <v>0</v>
      </c>
      <c r="Z153" s="210"/>
      <c r="AA153" s="210">
        <v>20000</v>
      </c>
      <c r="AB153" s="210">
        <v>80000</v>
      </c>
      <c r="AC153" s="212">
        <f>SUM(Z153:AB153)</f>
        <v>100000</v>
      </c>
      <c r="AD153" s="210">
        <v>30000</v>
      </c>
      <c r="AE153" s="210">
        <v>20000</v>
      </c>
      <c r="AF153" s="210"/>
      <c r="AG153" s="212">
        <f>SUM(AD153:AF153)</f>
        <v>50000</v>
      </c>
      <c r="AH153" s="210">
        <f>U153+Y153+AC153+AG153</f>
        <v>150000</v>
      </c>
      <c r="AI153" s="148" t="s">
        <v>326</v>
      </c>
    </row>
    <row r="154" spans="1:35" ht="16.5" customHeight="1">
      <c r="A154" s="218"/>
      <c r="B154" s="8"/>
      <c r="C154" s="8"/>
      <c r="F154" s="200"/>
      <c r="G154" s="257"/>
      <c r="H154" s="257"/>
      <c r="I154" s="257"/>
      <c r="J154" s="257"/>
      <c r="K154" s="257"/>
      <c r="L154" s="479"/>
      <c r="M154" s="257"/>
      <c r="N154" s="257">
        <f>H154+M154</f>
        <v>0</v>
      </c>
      <c r="O154" s="257">
        <f>N154-K154</f>
        <v>0</v>
      </c>
      <c r="Q154" s="208"/>
      <c r="R154" s="210"/>
      <c r="S154" s="210"/>
      <c r="T154" s="210"/>
      <c r="U154" s="212"/>
      <c r="V154" s="210"/>
      <c r="W154" s="210"/>
      <c r="X154" s="210"/>
      <c r="Y154" s="212"/>
      <c r="Z154" s="210"/>
      <c r="AA154" s="210"/>
      <c r="AB154" s="210"/>
      <c r="AC154" s="212"/>
      <c r="AD154" s="210"/>
      <c r="AE154" s="210"/>
      <c r="AF154" s="210"/>
      <c r="AG154" s="212"/>
      <c r="AH154" s="210"/>
      <c r="AI154" s="148"/>
    </row>
    <row r="155" spans="1:35" s="215" customFormat="1" ht="16.5" customHeight="1">
      <c r="A155" s="213"/>
      <c r="B155" s="213"/>
      <c r="C155" s="214"/>
      <c r="F155" s="173">
        <f>SUM(F153)</f>
        <v>150000</v>
      </c>
      <c r="G155" s="258"/>
      <c r="H155" s="258"/>
      <c r="I155" s="258"/>
      <c r="J155" s="258"/>
      <c r="K155" s="258"/>
      <c r="L155" s="282"/>
      <c r="M155" s="258"/>
      <c r="N155" s="257">
        <f>H155+M155</f>
        <v>0</v>
      </c>
      <c r="O155" s="257">
        <f>N155-K155</f>
        <v>0</v>
      </c>
      <c r="R155" s="216">
        <f>SUM(R153:R154)</f>
        <v>0</v>
      </c>
      <c r="S155" s="216">
        <f aca="true" t="shared" si="21" ref="S155:AG155">SUM(S153:S154)</f>
        <v>0</v>
      </c>
      <c r="T155" s="216">
        <f t="shared" si="21"/>
        <v>0</v>
      </c>
      <c r="U155" s="216">
        <f t="shared" si="21"/>
        <v>0</v>
      </c>
      <c r="V155" s="216">
        <f t="shared" si="21"/>
        <v>0</v>
      </c>
      <c r="W155" s="216">
        <f t="shared" si="21"/>
        <v>0</v>
      </c>
      <c r="X155" s="216">
        <f t="shared" si="21"/>
        <v>0</v>
      </c>
      <c r="Y155" s="216">
        <f t="shared" si="21"/>
        <v>0</v>
      </c>
      <c r="Z155" s="216">
        <f t="shared" si="21"/>
        <v>0</v>
      </c>
      <c r="AA155" s="216">
        <f t="shared" si="21"/>
        <v>20000</v>
      </c>
      <c r="AB155" s="216">
        <f t="shared" si="21"/>
        <v>80000</v>
      </c>
      <c r="AC155" s="216">
        <f t="shared" si="21"/>
        <v>100000</v>
      </c>
      <c r="AD155" s="216">
        <f t="shared" si="21"/>
        <v>30000</v>
      </c>
      <c r="AE155" s="216">
        <f t="shared" si="21"/>
        <v>20000</v>
      </c>
      <c r="AF155" s="216">
        <f t="shared" si="21"/>
        <v>0</v>
      </c>
      <c r="AG155" s="216">
        <f t="shared" si="21"/>
        <v>50000</v>
      </c>
      <c r="AH155" s="216">
        <f aca="true" t="shared" si="22" ref="AH155:AH223">U155+Y155+AC155+AG155</f>
        <v>150000</v>
      </c>
      <c r="AI155" s="217"/>
    </row>
    <row r="156" spans="1:35" ht="16.5" customHeight="1">
      <c r="A156" s="218" t="s">
        <v>51</v>
      </c>
      <c r="B156" s="158">
        <v>280</v>
      </c>
      <c r="C156" s="158"/>
      <c r="D156" s="154"/>
      <c r="E156" s="154"/>
      <c r="F156" s="177">
        <v>2000</v>
      </c>
      <c r="G156" s="257"/>
      <c r="H156" s="257">
        <f>F156</f>
        <v>2000</v>
      </c>
      <c r="I156" s="257"/>
      <c r="J156" s="257"/>
      <c r="K156" s="257"/>
      <c r="L156" s="300"/>
      <c r="M156" s="257"/>
      <c r="N156" s="257">
        <f>H156+M156</f>
        <v>2000</v>
      </c>
      <c r="O156" s="257">
        <f>N156-K156</f>
        <v>2000</v>
      </c>
      <c r="Q156" s="208"/>
      <c r="R156" s="210">
        <v>165</v>
      </c>
      <c r="S156" s="210">
        <v>165</v>
      </c>
      <c r="T156" s="210">
        <v>170</v>
      </c>
      <c r="U156" s="212">
        <f aca="true" t="shared" si="23" ref="U156:U223">SUM(R156:T156)</f>
        <v>500</v>
      </c>
      <c r="V156" s="210">
        <v>165</v>
      </c>
      <c r="W156" s="210">
        <v>165</v>
      </c>
      <c r="X156" s="210">
        <v>170</v>
      </c>
      <c r="Y156" s="212">
        <f aca="true" t="shared" si="24" ref="Y156:Y223">SUM(V156:X156)</f>
        <v>500</v>
      </c>
      <c r="Z156" s="210">
        <v>165</v>
      </c>
      <c r="AA156" s="210">
        <v>165</v>
      </c>
      <c r="AB156" s="210">
        <v>170</v>
      </c>
      <c r="AC156" s="212">
        <f aca="true" t="shared" si="25" ref="AC156:AC223">SUM(Z156:AB156)</f>
        <v>500</v>
      </c>
      <c r="AD156" s="210">
        <v>165</v>
      </c>
      <c r="AE156" s="210">
        <v>165</v>
      </c>
      <c r="AF156" s="210">
        <v>170</v>
      </c>
      <c r="AG156" s="212">
        <f aca="true" t="shared" si="26" ref="AG156:AG223">SUM(AD156:AF156)</f>
        <v>500</v>
      </c>
      <c r="AH156" s="210">
        <f t="shared" si="22"/>
        <v>2000</v>
      </c>
      <c r="AI156" s="160" t="s">
        <v>0</v>
      </c>
    </row>
    <row r="157" spans="1:35" s="215" customFormat="1" ht="16.5" customHeight="1">
      <c r="A157" s="213"/>
      <c r="B157" s="214"/>
      <c r="C157" s="214"/>
      <c r="F157" s="173">
        <f>SUM(F156)</f>
        <v>2000</v>
      </c>
      <c r="G157" s="258"/>
      <c r="H157" s="258"/>
      <c r="I157" s="258"/>
      <c r="J157" s="258"/>
      <c r="K157" s="258"/>
      <c r="L157" s="300"/>
      <c r="M157" s="258"/>
      <c r="N157" s="257"/>
      <c r="O157" s="257"/>
      <c r="R157" s="216">
        <f>SUM(R156)</f>
        <v>165</v>
      </c>
      <c r="S157" s="216">
        <f>SUM(S156)</f>
        <v>165</v>
      </c>
      <c r="T157" s="216">
        <f>SUM(T156)</f>
        <v>170</v>
      </c>
      <c r="U157" s="216">
        <f t="shared" si="23"/>
        <v>500</v>
      </c>
      <c r="V157" s="216">
        <f>SUM(V156)</f>
        <v>165</v>
      </c>
      <c r="W157" s="216">
        <f>SUM(W156)</f>
        <v>165</v>
      </c>
      <c r="X157" s="216">
        <f>SUM(X156)</f>
        <v>170</v>
      </c>
      <c r="Y157" s="216">
        <f t="shared" si="24"/>
        <v>500</v>
      </c>
      <c r="Z157" s="216">
        <f>SUM(Z156)</f>
        <v>165</v>
      </c>
      <c r="AA157" s="216">
        <f>SUM(AA156)</f>
        <v>165</v>
      </c>
      <c r="AB157" s="216">
        <f>SUM(AB156)</f>
        <v>170</v>
      </c>
      <c r="AC157" s="216">
        <f t="shared" si="25"/>
        <v>500</v>
      </c>
      <c r="AD157" s="216">
        <f>SUM(AD156)</f>
        <v>165</v>
      </c>
      <c r="AE157" s="216">
        <f>SUM(AE156)</f>
        <v>165</v>
      </c>
      <c r="AF157" s="216">
        <f>SUM(AF156)</f>
        <v>170</v>
      </c>
      <c r="AG157" s="216">
        <f t="shared" si="26"/>
        <v>500</v>
      </c>
      <c r="AH157" s="216">
        <f t="shared" si="22"/>
        <v>2000</v>
      </c>
      <c r="AI157" s="217"/>
    </row>
    <row r="158" spans="1:35" ht="16.5" customHeight="1">
      <c r="A158" s="476" t="s">
        <v>337</v>
      </c>
      <c r="B158" s="408" t="s">
        <v>195</v>
      </c>
      <c r="C158" s="408" t="s">
        <v>338</v>
      </c>
      <c r="F158" s="177">
        <v>45000</v>
      </c>
      <c r="G158" s="257" t="str">
        <f>Лист1!B74</f>
        <v>UA-P-2020-01-31-016219-a</v>
      </c>
      <c r="H158" s="257">
        <f>F158</f>
        <v>45000</v>
      </c>
      <c r="I158" s="257"/>
      <c r="J158" s="257"/>
      <c r="K158" s="257"/>
      <c r="L158" s="282"/>
      <c r="M158" s="257"/>
      <c r="N158" s="257">
        <f>H158+M158</f>
        <v>45000</v>
      </c>
      <c r="O158" s="257">
        <f>N158-K158-K159-K160-K161</f>
        <v>41402</v>
      </c>
      <c r="Q158" s="208"/>
      <c r="R158" s="210">
        <v>7500</v>
      </c>
      <c r="S158" s="210">
        <v>0</v>
      </c>
      <c r="T158" s="210">
        <v>2500</v>
      </c>
      <c r="U158" s="212">
        <f t="shared" si="23"/>
        <v>10000</v>
      </c>
      <c r="V158" s="210">
        <v>7000</v>
      </c>
      <c r="W158" s="210">
        <v>7000</v>
      </c>
      <c r="X158" s="210">
        <v>6000</v>
      </c>
      <c r="Y158" s="212">
        <f t="shared" si="24"/>
        <v>20000</v>
      </c>
      <c r="Z158" s="210">
        <v>2500</v>
      </c>
      <c r="AA158" s="210"/>
      <c r="AB158" s="210">
        <v>2500</v>
      </c>
      <c r="AC158" s="212">
        <f t="shared" si="25"/>
        <v>5000</v>
      </c>
      <c r="AD158" s="210">
        <v>3500</v>
      </c>
      <c r="AE158" s="210">
        <v>3500</v>
      </c>
      <c r="AF158" s="210">
        <v>3000</v>
      </c>
      <c r="AG158" s="212">
        <f t="shared" si="26"/>
        <v>10000</v>
      </c>
      <c r="AH158" s="210">
        <f t="shared" si="22"/>
        <v>45000</v>
      </c>
      <c r="AI158" s="148" t="s">
        <v>0</v>
      </c>
    </row>
    <row r="159" spans="1:35" ht="16.5" customHeight="1">
      <c r="A159" s="477"/>
      <c r="B159" s="406"/>
      <c r="C159" s="406"/>
      <c r="F159" s="287"/>
      <c r="G159" s="257"/>
      <c r="H159" s="257"/>
      <c r="I159" s="257" t="s">
        <v>912</v>
      </c>
      <c r="J159" s="284" t="s">
        <v>913</v>
      </c>
      <c r="K159" s="284">
        <v>790</v>
      </c>
      <c r="L159" s="282"/>
      <c r="M159" s="257"/>
      <c r="N159" s="257"/>
      <c r="O159" s="257"/>
      <c r="Q159" s="208"/>
      <c r="R159" s="210"/>
      <c r="S159" s="210"/>
      <c r="T159" s="210"/>
      <c r="U159" s="212"/>
      <c r="V159" s="210"/>
      <c r="W159" s="210"/>
      <c r="X159" s="210"/>
      <c r="Y159" s="212"/>
      <c r="Z159" s="210"/>
      <c r="AA159" s="210"/>
      <c r="AB159" s="210"/>
      <c r="AC159" s="212"/>
      <c r="AD159" s="210"/>
      <c r="AE159" s="210"/>
      <c r="AF159" s="210"/>
      <c r="AG159" s="212"/>
      <c r="AH159" s="210"/>
      <c r="AI159" s="148"/>
    </row>
    <row r="160" spans="1:35" ht="16.5" customHeight="1">
      <c r="A160" s="477"/>
      <c r="B160" s="406"/>
      <c r="C160" s="406"/>
      <c r="F160" s="287"/>
      <c r="G160" s="257"/>
      <c r="H160" s="257"/>
      <c r="I160" s="257" t="s">
        <v>914</v>
      </c>
      <c r="J160" s="257" t="s">
        <v>915</v>
      </c>
      <c r="K160" s="257">
        <v>2808</v>
      </c>
      <c r="L160" s="282"/>
      <c r="M160" s="257"/>
      <c r="N160" s="257"/>
      <c r="O160" s="257"/>
      <c r="Q160" s="208"/>
      <c r="R160" s="210"/>
      <c r="S160" s="210"/>
      <c r="T160" s="210"/>
      <c r="U160" s="212"/>
      <c r="V160" s="210"/>
      <c r="W160" s="210"/>
      <c r="X160" s="210"/>
      <c r="Y160" s="212"/>
      <c r="Z160" s="210"/>
      <c r="AA160" s="210"/>
      <c r="AB160" s="210"/>
      <c r="AC160" s="212"/>
      <c r="AD160" s="210"/>
      <c r="AE160" s="210"/>
      <c r="AF160" s="210"/>
      <c r="AG160" s="212"/>
      <c r="AH160" s="210"/>
      <c r="AI160" s="148"/>
    </row>
    <row r="161" spans="1:35" ht="16.5" customHeight="1">
      <c r="A161" s="478"/>
      <c r="B161" s="407"/>
      <c r="C161" s="407"/>
      <c r="F161" s="287"/>
      <c r="G161" s="257"/>
      <c r="H161" s="257"/>
      <c r="I161" s="257"/>
      <c r="J161" s="257"/>
      <c r="K161" s="257"/>
      <c r="L161" s="282"/>
      <c r="M161" s="257"/>
      <c r="N161" s="257"/>
      <c r="O161" s="257"/>
      <c r="Q161" s="208"/>
      <c r="R161" s="210"/>
      <c r="S161" s="210"/>
      <c r="T161" s="210"/>
      <c r="U161" s="212"/>
      <c r="V161" s="210"/>
      <c r="W161" s="210"/>
      <c r="X161" s="210"/>
      <c r="Y161" s="212"/>
      <c r="Z161" s="210"/>
      <c r="AA161" s="210"/>
      <c r="AB161" s="210"/>
      <c r="AC161" s="212"/>
      <c r="AD161" s="210"/>
      <c r="AE161" s="210"/>
      <c r="AF161" s="210"/>
      <c r="AG161" s="212"/>
      <c r="AH161" s="210"/>
      <c r="AI161" s="148"/>
    </row>
    <row r="162" spans="1:35" s="215" customFormat="1" ht="16.5" customHeight="1">
      <c r="A162" s="213"/>
      <c r="B162" s="213"/>
      <c r="C162" s="214"/>
      <c r="F162" s="173">
        <f>SUM(F158)</f>
        <v>45000</v>
      </c>
      <c r="G162" s="258"/>
      <c r="H162" s="258"/>
      <c r="I162" s="258"/>
      <c r="J162" s="258"/>
      <c r="K162" s="258"/>
      <c r="L162" s="282"/>
      <c r="M162" s="258"/>
      <c r="N162" s="257"/>
      <c r="O162" s="257"/>
      <c r="R162" s="216">
        <f>SUM(R158)</f>
        <v>7500</v>
      </c>
      <c r="S162" s="216">
        <f>SUM(S158)</f>
        <v>0</v>
      </c>
      <c r="T162" s="216">
        <f>SUM(T158)</f>
        <v>2500</v>
      </c>
      <c r="U162" s="216">
        <f>SUM(R162:T162)</f>
        <v>10000</v>
      </c>
      <c r="V162" s="216">
        <f>SUM(V158)</f>
        <v>7000</v>
      </c>
      <c r="W162" s="216">
        <f>SUM(W158)</f>
        <v>7000</v>
      </c>
      <c r="X162" s="216">
        <f>SUM(X158)</f>
        <v>6000</v>
      </c>
      <c r="Y162" s="216">
        <f>SUM(V162:X162)</f>
        <v>20000</v>
      </c>
      <c r="Z162" s="216">
        <f>SUM(Z158)</f>
        <v>2500</v>
      </c>
      <c r="AA162" s="216">
        <f>SUM(AA158)</f>
        <v>0</v>
      </c>
      <c r="AB162" s="216">
        <f>SUM(AB158)</f>
        <v>2500</v>
      </c>
      <c r="AC162" s="216">
        <f>SUM(Z162:AB162)</f>
        <v>5000</v>
      </c>
      <c r="AD162" s="216">
        <f>SUM(AD158)</f>
        <v>3500</v>
      </c>
      <c r="AE162" s="216">
        <f>SUM(AE158)</f>
        <v>3500</v>
      </c>
      <c r="AF162" s="216">
        <f>SUM(AF158)</f>
        <v>3000</v>
      </c>
      <c r="AG162" s="216">
        <f>SUM(AD162:AF162)</f>
        <v>10000</v>
      </c>
      <c r="AH162" s="216">
        <f>U162+Y162+AC162+AG162</f>
        <v>45000</v>
      </c>
      <c r="AI162" s="217"/>
    </row>
    <row r="163" spans="1:35" ht="16.5" customHeight="1">
      <c r="A163" s="476" t="s">
        <v>26</v>
      </c>
      <c r="B163" s="198"/>
      <c r="C163" s="408" t="s">
        <v>25</v>
      </c>
      <c r="F163" s="177">
        <v>7000</v>
      </c>
      <c r="G163" s="257" t="str">
        <f>Лист1!B60</f>
        <v>UA-P-2020-01-31-016149-a</v>
      </c>
      <c r="H163" s="257">
        <f>F163</f>
        <v>7000</v>
      </c>
      <c r="I163" s="257"/>
      <c r="J163" s="257"/>
      <c r="K163" s="257"/>
      <c r="L163" s="282">
        <v>43994</v>
      </c>
      <c r="M163" s="257">
        <v>150</v>
      </c>
      <c r="N163" s="257">
        <f aca="true" t="shared" si="27" ref="N163:N187">H163+M163</f>
        <v>7150</v>
      </c>
      <c r="O163" s="257">
        <f aca="true" t="shared" si="28" ref="O163:O187">N163-K163</f>
        <v>7150</v>
      </c>
      <c r="Q163" s="208"/>
      <c r="R163" s="210"/>
      <c r="S163" s="210"/>
      <c r="T163" s="210"/>
      <c r="U163" s="212">
        <f t="shared" si="23"/>
        <v>0</v>
      </c>
      <c r="V163" s="210"/>
      <c r="W163" s="210"/>
      <c r="X163" s="210"/>
      <c r="Y163" s="212">
        <f t="shared" si="24"/>
        <v>0</v>
      </c>
      <c r="Z163" s="210"/>
      <c r="AA163" s="210"/>
      <c r="AB163" s="222">
        <v>3500</v>
      </c>
      <c r="AC163" s="212">
        <f t="shared" si="25"/>
        <v>3500</v>
      </c>
      <c r="AD163" s="210">
        <v>3500</v>
      </c>
      <c r="AE163" s="210"/>
      <c r="AF163" s="210"/>
      <c r="AG163" s="212">
        <f t="shared" si="26"/>
        <v>3500</v>
      </c>
      <c r="AH163" s="222">
        <f t="shared" si="22"/>
        <v>7000</v>
      </c>
      <c r="AI163" s="148" t="s">
        <v>0</v>
      </c>
    </row>
    <row r="164" spans="1:35" ht="16.5" customHeight="1">
      <c r="A164" s="477"/>
      <c r="B164" s="198"/>
      <c r="C164" s="406"/>
      <c r="F164" s="287"/>
      <c r="G164" s="257"/>
      <c r="H164" s="257"/>
      <c r="I164" s="257" t="s">
        <v>922</v>
      </c>
      <c r="J164" s="284" t="s">
        <v>923</v>
      </c>
      <c r="K164" s="284">
        <v>4500</v>
      </c>
      <c r="L164" s="282"/>
      <c r="M164" s="257"/>
      <c r="N164" s="257"/>
      <c r="O164" s="257"/>
      <c r="Q164" s="208"/>
      <c r="R164" s="210"/>
      <c r="S164" s="210"/>
      <c r="T164" s="210"/>
      <c r="U164" s="212"/>
      <c r="V164" s="210"/>
      <c r="W164" s="210"/>
      <c r="X164" s="210"/>
      <c r="Y164" s="212"/>
      <c r="Z164" s="210"/>
      <c r="AA164" s="210"/>
      <c r="AB164" s="222"/>
      <c r="AC164" s="212"/>
      <c r="AD164" s="210"/>
      <c r="AE164" s="210"/>
      <c r="AF164" s="210"/>
      <c r="AG164" s="212"/>
      <c r="AH164" s="222"/>
      <c r="AI164" s="148"/>
    </row>
    <row r="165" spans="1:35" ht="16.5" customHeight="1">
      <c r="A165" s="477"/>
      <c r="B165" s="198"/>
      <c r="C165" s="406"/>
      <c r="F165" s="287"/>
      <c r="G165" s="257"/>
      <c r="H165" s="257"/>
      <c r="I165" s="257" t="s">
        <v>924</v>
      </c>
      <c r="J165" s="284" t="s">
        <v>925</v>
      </c>
      <c r="K165" s="284">
        <v>250</v>
      </c>
      <c r="L165" s="282"/>
      <c r="M165" s="257"/>
      <c r="N165" s="257"/>
      <c r="O165" s="257"/>
      <c r="Q165" s="208"/>
      <c r="R165" s="210"/>
      <c r="S165" s="210"/>
      <c r="T165" s="210"/>
      <c r="U165" s="212"/>
      <c r="V165" s="210"/>
      <c r="W165" s="210"/>
      <c r="X165" s="210"/>
      <c r="Y165" s="212"/>
      <c r="Z165" s="210"/>
      <c r="AA165" s="210"/>
      <c r="AB165" s="222"/>
      <c r="AC165" s="212"/>
      <c r="AD165" s="210"/>
      <c r="AE165" s="210"/>
      <c r="AF165" s="210"/>
      <c r="AG165" s="212"/>
      <c r="AH165" s="222"/>
      <c r="AI165" s="148"/>
    </row>
    <row r="166" spans="1:35" ht="16.5" customHeight="1">
      <c r="A166" s="477"/>
      <c r="B166" s="198"/>
      <c r="C166" s="406"/>
      <c r="F166" s="287"/>
      <c r="G166" s="257"/>
      <c r="H166" s="257"/>
      <c r="I166" s="257"/>
      <c r="J166" s="257"/>
      <c r="K166" s="257"/>
      <c r="L166" s="282"/>
      <c r="M166" s="257"/>
      <c r="N166" s="257"/>
      <c r="O166" s="257"/>
      <c r="Q166" s="208"/>
      <c r="R166" s="210"/>
      <c r="S166" s="210"/>
      <c r="T166" s="210"/>
      <c r="U166" s="212"/>
      <c r="V166" s="210"/>
      <c r="W166" s="210"/>
      <c r="X166" s="210"/>
      <c r="Y166" s="212"/>
      <c r="Z166" s="210"/>
      <c r="AA166" s="210"/>
      <c r="AB166" s="222"/>
      <c r="AC166" s="212"/>
      <c r="AD166" s="210"/>
      <c r="AE166" s="210"/>
      <c r="AF166" s="210"/>
      <c r="AG166" s="212"/>
      <c r="AH166" s="222"/>
      <c r="AI166" s="148"/>
    </row>
    <row r="167" spans="1:35" ht="16.5" customHeight="1">
      <c r="A167" s="478"/>
      <c r="B167" s="198"/>
      <c r="C167" s="407"/>
      <c r="F167" s="287"/>
      <c r="G167" s="257"/>
      <c r="H167" s="257"/>
      <c r="I167" s="257"/>
      <c r="J167" s="257"/>
      <c r="K167" s="257"/>
      <c r="L167" s="282"/>
      <c r="M167" s="257"/>
      <c r="N167" s="257"/>
      <c r="O167" s="257"/>
      <c r="Q167" s="208"/>
      <c r="R167" s="210"/>
      <c r="S167" s="210"/>
      <c r="T167" s="210"/>
      <c r="U167" s="212"/>
      <c r="V167" s="210"/>
      <c r="W167" s="210"/>
      <c r="X167" s="210"/>
      <c r="Y167" s="212"/>
      <c r="Z167" s="210"/>
      <c r="AA167" s="210"/>
      <c r="AB167" s="222"/>
      <c r="AC167" s="212"/>
      <c r="AD167" s="210"/>
      <c r="AE167" s="210"/>
      <c r="AF167" s="210"/>
      <c r="AG167" s="212"/>
      <c r="AH167" s="222"/>
      <c r="AI167" s="148"/>
    </row>
    <row r="168" spans="1:35" ht="16.5" customHeight="1">
      <c r="A168" s="476" t="s">
        <v>7</v>
      </c>
      <c r="B168" s="198"/>
      <c r="C168" s="408" t="s">
        <v>6</v>
      </c>
      <c r="F168" s="177">
        <v>20000</v>
      </c>
      <c r="G168" s="257" t="str">
        <f>Лист1!B61</f>
        <v>UA-P-2020-01-31-016156-a</v>
      </c>
      <c r="H168" s="257">
        <f>F168</f>
        <v>20000</v>
      </c>
      <c r="I168" s="257"/>
      <c r="J168" s="257"/>
      <c r="K168" s="257"/>
      <c r="L168" s="282"/>
      <c r="M168" s="257"/>
      <c r="N168" s="257">
        <f t="shared" si="27"/>
        <v>20000</v>
      </c>
      <c r="O168" s="257">
        <f t="shared" si="28"/>
        <v>20000</v>
      </c>
      <c r="Q168" s="208"/>
      <c r="R168" s="210">
        <v>1500</v>
      </c>
      <c r="S168" s="210">
        <v>1500</v>
      </c>
      <c r="T168" s="210">
        <v>1500</v>
      </c>
      <c r="U168" s="212">
        <f t="shared" si="23"/>
        <v>4500</v>
      </c>
      <c r="V168" s="210">
        <v>2000</v>
      </c>
      <c r="W168" s="210">
        <v>1700</v>
      </c>
      <c r="X168" s="210">
        <v>1600</v>
      </c>
      <c r="Y168" s="212">
        <f t="shared" si="24"/>
        <v>5300</v>
      </c>
      <c r="Z168" s="210">
        <v>1800</v>
      </c>
      <c r="AA168" s="210">
        <v>1700</v>
      </c>
      <c r="AB168" s="222">
        <v>1700</v>
      </c>
      <c r="AC168" s="212">
        <f t="shared" si="25"/>
        <v>5200</v>
      </c>
      <c r="AD168" s="210">
        <v>1700</v>
      </c>
      <c r="AE168" s="210">
        <v>1700</v>
      </c>
      <c r="AF168" s="210">
        <v>1600</v>
      </c>
      <c r="AG168" s="212">
        <f t="shared" si="26"/>
        <v>5000</v>
      </c>
      <c r="AH168" s="222">
        <f t="shared" si="22"/>
        <v>20000</v>
      </c>
      <c r="AI168" s="148" t="s">
        <v>0</v>
      </c>
    </row>
    <row r="169" spans="1:35" ht="16.5" customHeight="1">
      <c r="A169" s="477"/>
      <c r="B169" s="198"/>
      <c r="C169" s="406"/>
      <c r="F169" s="287"/>
      <c r="G169" s="257"/>
      <c r="H169" s="257"/>
      <c r="I169" s="257" t="s">
        <v>916</v>
      </c>
      <c r="J169" s="284" t="s">
        <v>917</v>
      </c>
      <c r="K169" s="284">
        <v>1740</v>
      </c>
      <c r="L169" s="282"/>
      <c r="M169" s="257"/>
      <c r="N169" s="257"/>
      <c r="O169" s="257"/>
      <c r="Q169" s="208"/>
      <c r="R169" s="210"/>
      <c r="S169" s="210"/>
      <c r="T169" s="210"/>
      <c r="U169" s="212"/>
      <c r="V169" s="210"/>
      <c r="W169" s="210"/>
      <c r="X169" s="210"/>
      <c r="Y169" s="212"/>
      <c r="Z169" s="210"/>
      <c r="AA169" s="210"/>
      <c r="AB169" s="222"/>
      <c r="AC169" s="212"/>
      <c r="AD169" s="210"/>
      <c r="AE169" s="210"/>
      <c r="AF169" s="210"/>
      <c r="AG169" s="212"/>
      <c r="AH169" s="222"/>
      <c r="AI169" s="148"/>
    </row>
    <row r="170" spans="1:35" ht="16.5" customHeight="1">
      <c r="A170" s="477"/>
      <c r="B170" s="198"/>
      <c r="C170" s="406"/>
      <c r="F170" s="287"/>
      <c r="G170" s="257"/>
      <c r="H170" s="257"/>
      <c r="I170" s="257" t="s">
        <v>918</v>
      </c>
      <c r="J170" s="284" t="s">
        <v>919</v>
      </c>
      <c r="K170" s="284">
        <v>3460</v>
      </c>
      <c r="L170" s="282"/>
      <c r="M170" s="257"/>
      <c r="N170" s="257"/>
      <c r="O170" s="257"/>
      <c r="Q170" s="208"/>
      <c r="R170" s="210"/>
      <c r="S170" s="210"/>
      <c r="T170" s="210"/>
      <c r="U170" s="212"/>
      <c r="V170" s="210"/>
      <c r="W170" s="210"/>
      <c r="X170" s="210"/>
      <c r="Y170" s="212"/>
      <c r="Z170" s="210"/>
      <c r="AA170" s="210"/>
      <c r="AB170" s="222"/>
      <c r="AC170" s="212"/>
      <c r="AD170" s="210"/>
      <c r="AE170" s="210"/>
      <c r="AF170" s="210"/>
      <c r="AG170" s="212"/>
      <c r="AH170" s="222"/>
      <c r="AI170" s="148"/>
    </row>
    <row r="171" spans="1:35" ht="16.5" customHeight="1">
      <c r="A171" s="477"/>
      <c r="B171" s="198"/>
      <c r="C171" s="406"/>
      <c r="F171" s="287"/>
      <c r="G171" s="257"/>
      <c r="H171" s="257"/>
      <c r="I171" s="257" t="s">
        <v>920</v>
      </c>
      <c r="J171" s="284" t="s">
        <v>921</v>
      </c>
      <c r="K171" s="284">
        <v>420</v>
      </c>
      <c r="L171" s="282"/>
      <c r="M171" s="257"/>
      <c r="N171" s="257"/>
      <c r="O171" s="257"/>
      <c r="Q171" s="208"/>
      <c r="R171" s="210"/>
      <c r="S171" s="210"/>
      <c r="T171" s="210"/>
      <c r="U171" s="212"/>
      <c r="V171" s="210"/>
      <c r="W171" s="210"/>
      <c r="X171" s="210"/>
      <c r="Y171" s="212"/>
      <c r="Z171" s="210"/>
      <c r="AA171" s="210"/>
      <c r="AB171" s="222"/>
      <c r="AC171" s="212"/>
      <c r="AD171" s="210"/>
      <c r="AE171" s="210"/>
      <c r="AF171" s="210"/>
      <c r="AG171" s="212"/>
      <c r="AH171" s="222"/>
      <c r="AI171" s="148"/>
    </row>
    <row r="172" spans="1:35" ht="16.5" customHeight="1">
      <c r="A172" s="477"/>
      <c r="B172" s="198"/>
      <c r="C172" s="406"/>
      <c r="F172" s="287"/>
      <c r="G172" s="257"/>
      <c r="H172" s="257"/>
      <c r="I172" s="257"/>
      <c r="J172" s="257"/>
      <c r="K172" s="257"/>
      <c r="L172" s="282"/>
      <c r="M172" s="257"/>
      <c r="N172" s="257"/>
      <c r="O172" s="257"/>
      <c r="Q172" s="208"/>
      <c r="R172" s="210"/>
      <c r="S172" s="210"/>
      <c r="T172" s="210"/>
      <c r="U172" s="212"/>
      <c r="V172" s="210"/>
      <c r="W172" s="210"/>
      <c r="X172" s="210"/>
      <c r="Y172" s="212"/>
      <c r="Z172" s="210"/>
      <c r="AA172" s="210"/>
      <c r="AB172" s="222"/>
      <c r="AC172" s="212"/>
      <c r="AD172" s="210"/>
      <c r="AE172" s="210"/>
      <c r="AF172" s="210"/>
      <c r="AG172" s="212"/>
      <c r="AH172" s="222"/>
      <c r="AI172" s="148"/>
    </row>
    <row r="173" spans="1:35" ht="16.5" customHeight="1">
      <c r="A173" s="478"/>
      <c r="B173" s="198"/>
      <c r="C173" s="407"/>
      <c r="F173" s="287"/>
      <c r="G173" s="257"/>
      <c r="H173" s="257"/>
      <c r="I173" s="257"/>
      <c r="J173" s="257"/>
      <c r="K173" s="257"/>
      <c r="L173" s="282"/>
      <c r="M173" s="257"/>
      <c r="N173" s="257"/>
      <c r="O173" s="257"/>
      <c r="Q173" s="208"/>
      <c r="R173" s="210"/>
      <c r="S173" s="210"/>
      <c r="T173" s="210"/>
      <c r="U173" s="212"/>
      <c r="V173" s="210"/>
      <c r="W173" s="210"/>
      <c r="X173" s="210"/>
      <c r="Y173" s="212"/>
      <c r="Z173" s="210"/>
      <c r="AA173" s="210"/>
      <c r="AB173" s="222"/>
      <c r="AC173" s="212"/>
      <c r="AD173" s="210"/>
      <c r="AE173" s="210"/>
      <c r="AF173" s="210"/>
      <c r="AG173" s="212"/>
      <c r="AH173" s="222"/>
      <c r="AI173" s="148"/>
    </row>
    <row r="174" spans="1:35" ht="63">
      <c r="A174" s="218" t="s">
        <v>180</v>
      </c>
      <c r="B174" s="198"/>
      <c r="C174" s="8" t="s">
        <v>181</v>
      </c>
      <c r="F174" s="177">
        <v>45000</v>
      </c>
      <c r="G174" s="257" t="str">
        <f>Лист1!B62</f>
        <v>UA-P-2020-01-31-016152-a</v>
      </c>
      <c r="H174" s="257">
        <f>F174</f>
        <v>45000</v>
      </c>
      <c r="I174" s="257"/>
      <c r="J174" s="257"/>
      <c r="K174" s="257"/>
      <c r="L174" s="282"/>
      <c r="M174" s="257"/>
      <c r="N174" s="257">
        <f t="shared" si="27"/>
        <v>45000</v>
      </c>
      <c r="O174" s="257">
        <f t="shared" si="28"/>
        <v>45000</v>
      </c>
      <c r="Q174" s="208"/>
      <c r="R174" s="210"/>
      <c r="S174" s="210"/>
      <c r="T174" s="210">
        <v>1496</v>
      </c>
      <c r="U174" s="212">
        <f t="shared" si="23"/>
        <v>1496</v>
      </c>
      <c r="V174" s="210">
        <v>438</v>
      </c>
      <c r="W174" s="210"/>
      <c r="X174" s="210"/>
      <c r="Y174" s="212">
        <f t="shared" si="24"/>
        <v>438</v>
      </c>
      <c r="Z174" s="210">
        <f>3500+1527</f>
        <v>5027</v>
      </c>
      <c r="AA174" s="210">
        <v>4661</v>
      </c>
      <c r="AB174" s="222">
        <v>5000</v>
      </c>
      <c r="AC174" s="212">
        <f t="shared" si="25"/>
        <v>14688</v>
      </c>
      <c r="AD174" s="210">
        <v>14000</v>
      </c>
      <c r="AE174" s="210">
        <v>14000</v>
      </c>
      <c r="AF174" s="210">
        <v>378</v>
      </c>
      <c r="AG174" s="212">
        <f t="shared" si="26"/>
        <v>28378</v>
      </c>
      <c r="AH174" s="222">
        <f t="shared" si="22"/>
        <v>45000</v>
      </c>
      <c r="AI174" s="148" t="s">
        <v>0</v>
      </c>
    </row>
    <row r="175" spans="1:35" ht="16.5" customHeight="1">
      <c r="A175" s="218" t="s">
        <v>46</v>
      </c>
      <c r="B175" s="198"/>
      <c r="C175" s="8" t="s">
        <v>47</v>
      </c>
      <c r="F175" s="238">
        <f>1500</f>
        <v>1500</v>
      </c>
      <c r="G175" s="257" t="str">
        <f>Лист1!B63</f>
        <v>UA-P-2020-01-31-016170-a</v>
      </c>
      <c r="H175" s="257">
        <f>F175</f>
        <v>1500</v>
      </c>
      <c r="I175" s="257"/>
      <c r="J175" s="257"/>
      <c r="K175" s="257"/>
      <c r="L175" s="282">
        <v>43878</v>
      </c>
      <c r="M175" s="257">
        <v>600</v>
      </c>
      <c r="N175" s="257">
        <f t="shared" si="27"/>
        <v>2100</v>
      </c>
      <c r="O175" s="257">
        <f t="shared" si="28"/>
        <v>2100</v>
      </c>
      <c r="Q175" s="208"/>
      <c r="R175" s="210"/>
      <c r="S175" s="210"/>
      <c r="T175" s="210"/>
      <c r="U175" s="212">
        <f t="shared" si="23"/>
        <v>0</v>
      </c>
      <c r="V175" s="210"/>
      <c r="W175" s="210"/>
      <c r="X175" s="210"/>
      <c r="Y175" s="212">
        <f t="shared" si="24"/>
        <v>0</v>
      </c>
      <c r="Z175" s="210"/>
      <c r="AA175" s="210"/>
      <c r="AB175" s="222"/>
      <c r="AC175" s="212">
        <f t="shared" si="25"/>
        <v>0</v>
      </c>
      <c r="AD175" s="210">
        <v>1500</v>
      </c>
      <c r="AE175" s="210"/>
      <c r="AF175" s="210"/>
      <c r="AG175" s="212">
        <f t="shared" si="26"/>
        <v>1500</v>
      </c>
      <c r="AH175" s="222">
        <f t="shared" si="22"/>
        <v>1500</v>
      </c>
      <c r="AI175" s="148" t="s">
        <v>0</v>
      </c>
    </row>
    <row r="176" spans="1:35" ht="16.5" customHeight="1">
      <c r="A176" s="218" t="s">
        <v>28</v>
      </c>
      <c r="B176" s="198"/>
      <c r="C176" s="8" t="s">
        <v>27</v>
      </c>
      <c r="F176" s="177">
        <v>74992</v>
      </c>
      <c r="G176" s="257"/>
      <c r="H176" s="257">
        <f>F176</f>
        <v>74992</v>
      </c>
      <c r="I176" s="257"/>
      <c r="J176" s="257"/>
      <c r="K176" s="257"/>
      <c r="L176" s="282"/>
      <c r="M176" s="257"/>
      <c r="N176" s="257">
        <f t="shared" si="27"/>
        <v>74992</v>
      </c>
      <c r="O176" s="257">
        <f t="shared" si="28"/>
        <v>74992</v>
      </c>
      <c r="Q176" s="208"/>
      <c r="R176" s="210">
        <v>6242</v>
      </c>
      <c r="S176" s="210">
        <v>6250</v>
      </c>
      <c r="T176" s="210">
        <v>6250</v>
      </c>
      <c r="U176" s="212">
        <f t="shared" si="23"/>
        <v>18742</v>
      </c>
      <c r="V176" s="210">
        <v>6250</v>
      </c>
      <c r="W176" s="210">
        <v>6250</v>
      </c>
      <c r="X176" s="210">
        <v>6250</v>
      </c>
      <c r="Y176" s="212">
        <f t="shared" si="24"/>
        <v>18750</v>
      </c>
      <c r="Z176" s="210">
        <v>6250</v>
      </c>
      <c r="AA176" s="210">
        <v>6250</v>
      </c>
      <c r="AB176" s="222">
        <v>6250</v>
      </c>
      <c r="AC176" s="212">
        <f t="shared" si="25"/>
        <v>18750</v>
      </c>
      <c r="AD176" s="210">
        <v>6250</v>
      </c>
      <c r="AE176" s="210">
        <v>6250</v>
      </c>
      <c r="AF176" s="210">
        <v>6250</v>
      </c>
      <c r="AG176" s="212">
        <f t="shared" si="26"/>
        <v>18750</v>
      </c>
      <c r="AH176" s="222">
        <f t="shared" si="22"/>
        <v>74992</v>
      </c>
      <c r="AI176" s="148" t="s">
        <v>326</v>
      </c>
    </row>
    <row r="177" spans="1:35" ht="16.5" customHeight="1">
      <c r="A177" s="218" t="s">
        <v>48</v>
      </c>
      <c r="B177" s="198"/>
      <c r="C177" s="8" t="s">
        <v>49</v>
      </c>
      <c r="F177" s="177">
        <v>5500</v>
      </c>
      <c r="G177" s="257"/>
      <c r="H177" s="257">
        <f aca="true" t="shared" si="29" ref="H177:H187">F177</f>
        <v>5500</v>
      </c>
      <c r="I177" s="257"/>
      <c r="J177" s="257"/>
      <c r="K177" s="257"/>
      <c r="L177" s="282"/>
      <c r="M177" s="257"/>
      <c r="N177" s="257">
        <f t="shared" si="27"/>
        <v>5500</v>
      </c>
      <c r="O177" s="257">
        <f t="shared" si="28"/>
        <v>5500</v>
      </c>
      <c r="Q177" s="208"/>
      <c r="R177" s="210">
        <v>700</v>
      </c>
      <c r="S177" s="210"/>
      <c r="T177" s="210"/>
      <c r="U177" s="212">
        <f t="shared" si="23"/>
        <v>700</v>
      </c>
      <c r="V177" s="210"/>
      <c r="W177" s="210"/>
      <c r="X177" s="210"/>
      <c r="Y177" s="212">
        <f t="shared" si="24"/>
        <v>0</v>
      </c>
      <c r="Z177" s="210"/>
      <c r="AA177" s="210"/>
      <c r="AB177" s="222">
        <v>4800</v>
      </c>
      <c r="AC177" s="212">
        <f t="shared" si="25"/>
        <v>4800</v>
      </c>
      <c r="AD177" s="210"/>
      <c r="AE177" s="210"/>
      <c r="AF177" s="210"/>
      <c r="AG177" s="212">
        <f t="shared" si="26"/>
        <v>0</v>
      </c>
      <c r="AH177" s="222">
        <f t="shared" si="22"/>
        <v>5500</v>
      </c>
      <c r="AI177" s="148" t="s">
        <v>0</v>
      </c>
    </row>
    <row r="178" spans="1:35" ht="16.5" customHeight="1">
      <c r="A178" s="236" t="s">
        <v>490</v>
      </c>
      <c r="B178" s="198"/>
      <c r="C178" s="8" t="s">
        <v>334</v>
      </c>
      <c r="F178" s="235">
        <f>7000+5000</f>
        <v>12000</v>
      </c>
      <c r="G178" s="257"/>
      <c r="H178" s="257">
        <f t="shared" si="29"/>
        <v>12000</v>
      </c>
      <c r="I178" s="257"/>
      <c r="J178" s="257"/>
      <c r="K178" s="257"/>
      <c r="L178" s="282"/>
      <c r="M178" s="257"/>
      <c r="N178" s="257">
        <f t="shared" si="27"/>
        <v>12000</v>
      </c>
      <c r="O178" s="257">
        <f t="shared" si="28"/>
        <v>12000</v>
      </c>
      <c r="Q178" s="208"/>
      <c r="R178" s="210"/>
      <c r="S178" s="210"/>
      <c r="T178" s="210"/>
      <c r="U178" s="212">
        <f t="shared" si="23"/>
        <v>0</v>
      </c>
      <c r="V178" s="210"/>
      <c r="W178" s="210">
        <v>3000</v>
      </c>
      <c r="X178" s="210"/>
      <c r="Y178" s="212">
        <f t="shared" si="24"/>
        <v>3000</v>
      </c>
      <c r="Z178" s="210">
        <v>1000</v>
      </c>
      <c r="AA178" s="210">
        <v>1500</v>
      </c>
      <c r="AB178" s="222">
        <v>3000</v>
      </c>
      <c r="AC178" s="212">
        <f t="shared" si="25"/>
        <v>5500</v>
      </c>
      <c r="AD178" s="210">
        <v>3500</v>
      </c>
      <c r="AE178" s="210"/>
      <c r="AF178" s="210"/>
      <c r="AG178" s="212">
        <f t="shared" si="26"/>
        <v>3500</v>
      </c>
      <c r="AH178" s="222">
        <f t="shared" si="22"/>
        <v>12000</v>
      </c>
      <c r="AI178" s="148" t="s">
        <v>0</v>
      </c>
    </row>
    <row r="179" spans="1:35" ht="16.5" customHeight="1">
      <c r="A179" s="218" t="s">
        <v>30</v>
      </c>
      <c r="B179" s="198"/>
      <c r="C179" s="8" t="s">
        <v>29</v>
      </c>
      <c r="F179" s="177">
        <f>6900+6900+6204+6900+4824+6900</f>
        <v>38628</v>
      </c>
      <c r="G179" s="257"/>
      <c r="H179" s="257">
        <f t="shared" si="29"/>
        <v>38628</v>
      </c>
      <c r="I179" s="257"/>
      <c r="J179" s="257"/>
      <c r="K179" s="257"/>
      <c r="L179" s="282"/>
      <c r="M179" s="257"/>
      <c r="N179" s="257">
        <f t="shared" si="27"/>
        <v>38628</v>
      </c>
      <c r="O179" s="257">
        <f t="shared" si="28"/>
        <v>38628</v>
      </c>
      <c r="Q179" s="208"/>
      <c r="R179" s="210">
        <v>3219</v>
      </c>
      <c r="S179" s="210">
        <v>3219</v>
      </c>
      <c r="T179" s="210">
        <v>3219</v>
      </c>
      <c r="U179" s="212">
        <f t="shared" si="23"/>
        <v>9657</v>
      </c>
      <c r="V179" s="210">
        <v>3219</v>
      </c>
      <c r="W179" s="210">
        <v>3219</v>
      </c>
      <c r="X179" s="210">
        <v>3219</v>
      </c>
      <c r="Y179" s="212">
        <f t="shared" si="24"/>
        <v>9657</v>
      </c>
      <c r="Z179" s="210">
        <v>3219</v>
      </c>
      <c r="AA179" s="210">
        <v>3219</v>
      </c>
      <c r="AB179" s="222">
        <v>3219</v>
      </c>
      <c r="AC179" s="212">
        <f t="shared" si="25"/>
        <v>9657</v>
      </c>
      <c r="AD179" s="210">
        <v>3219</v>
      </c>
      <c r="AE179" s="210">
        <v>3219</v>
      </c>
      <c r="AF179" s="210">
        <v>3219</v>
      </c>
      <c r="AG179" s="212">
        <f t="shared" si="26"/>
        <v>9657</v>
      </c>
      <c r="AH179" s="222">
        <f t="shared" si="22"/>
        <v>38628</v>
      </c>
      <c r="AI179" s="148" t="s">
        <v>0</v>
      </c>
    </row>
    <row r="180" spans="1:35" ht="16.5" customHeight="1">
      <c r="A180" s="236" t="s">
        <v>487</v>
      </c>
      <c r="B180" s="198"/>
      <c r="C180" s="8" t="s">
        <v>488</v>
      </c>
      <c r="F180" s="235">
        <v>175000</v>
      </c>
      <c r="G180" s="257"/>
      <c r="H180" s="257">
        <f t="shared" si="29"/>
        <v>175000</v>
      </c>
      <c r="I180" s="257"/>
      <c r="J180" s="257"/>
      <c r="K180" s="257"/>
      <c r="L180" s="282"/>
      <c r="M180" s="257"/>
      <c r="N180" s="257">
        <f t="shared" si="27"/>
        <v>175000</v>
      </c>
      <c r="O180" s="257">
        <f t="shared" si="28"/>
        <v>175000</v>
      </c>
      <c r="Q180" s="208"/>
      <c r="R180" s="210"/>
      <c r="S180" s="210"/>
      <c r="T180" s="210">
        <v>43750</v>
      </c>
      <c r="U180" s="212">
        <f t="shared" si="23"/>
        <v>43750</v>
      </c>
      <c r="V180" s="210"/>
      <c r="W180" s="210"/>
      <c r="X180" s="210">
        <v>43750</v>
      </c>
      <c r="Y180" s="212">
        <f t="shared" si="24"/>
        <v>43750</v>
      </c>
      <c r="Z180" s="210"/>
      <c r="AA180" s="210"/>
      <c r="AB180" s="222">
        <v>43750</v>
      </c>
      <c r="AC180" s="212">
        <f t="shared" si="25"/>
        <v>43750</v>
      </c>
      <c r="AD180" s="210"/>
      <c r="AE180" s="210"/>
      <c r="AF180" s="210">
        <v>43750</v>
      </c>
      <c r="AG180" s="212">
        <f t="shared" si="26"/>
        <v>43750</v>
      </c>
      <c r="AH180" s="222">
        <f t="shared" si="22"/>
        <v>175000</v>
      </c>
      <c r="AI180" s="148" t="s">
        <v>326</v>
      </c>
    </row>
    <row r="181" spans="1:35" ht="16.5" customHeight="1">
      <c r="A181" s="236" t="s">
        <v>484</v>
      </c>
      <c r="B181" s="198"/>
      <c r="C181" s="8" t="s">
        <v>378</v>
      </c>
      <c r="F181" s="235">
        <v>180000</v>
      </c>
      <c r="G181" s="257"/>
      <c r="H181" s="257">
        <f t="shared" si="29"/>
        <v>180000</v>
      </c>
      <c r="I181" s="257"/>
      <c r="J181" s="257"/>
      <c r="K181" s="257"/>
      <c r="L181" s="282"/>
      <c r="M181" s="257"/>
      <c r="N181" s="257">
        <f t="shared" si="27"/>
        <v>180000</v>
      </c>
      <c r="O181" s="257">
        <f t="shared" si="28"/>
        <v>180000</v>
      </c>
      <c r="Q181" s="208"/>
      <c r="R181" s="210"/>
      <c r="S181" s="210"/>
      <c r="T181" s="210">
        <v>45000</v>
      </c>
      <c r="U181" s="212">
        <f t="shared" si="23"/>
        <v>45000</v>
      </c>
      <c r="V181" s="210"/>
      <c r="W181" s="210"/>
      <c r="X181" s="210">
        <v>45000</v>
      </c>
      <c r="Y181" s="212">
        <f t="shared" si="24"/>
        <v>45000</v>
      </c>
      <c r="Z181" s="210"/>
      <c r="AA181" s="210"/>
      <c r="AB181" s="210">
        <v>45000</v>
      </c>
      <c r="AC181" s="212">
        <f t="shared" si="25"/>
        <v>45000</v>
      </c>
      <c r="AD181" s="210"/>
      <c r="AE181" s="210"/>
      <c r="AF181" s="210">
        <v>45000</v>
      </c>
      <c r="AG181" s="212">
        <f t="shared" si="26"/>
        <v>45000</v>
      </c>
      <c r="AH181" s="222">
        <f t="shared" si="22"/>
        <v>180000</v>
      </c>
      <c r="AI181" s="148" t="s">
        <v>326</v>
      </c>
    </row>
    <row r="182" spans="1:35" ht="16.5" customHeight="1">
      <c r="A182" s="236" t="s">
        <v>485</v>
      </c>
      <c r="B182" s="198"/>
      <c r="C182" s="8" t="s">
        <v>486</v>
      </c>
      <c r="F182" s="235">
        <v>167000</v>
      </c>
      <c r="G182" s="257"/>
      <c r="H182" s="257">
        <f t="shared" si="29"/>
        <v>167000</v>
      </c>
      <c r="I182" s="257"/>
      <c r="J182" s="257"/>
      <c r="K182" s="257"/>
      <c r="L182" s="282"/>
      <c r="M182" s="257"/>
      <c r="N182" s="257">
        <f t="shared" si="27"/>
        <v>167000</v>
      </c>
      <c r="O182" s="257">
        <f t="shared" si="28"/>
        <v>167000</v>
      </c>
      <c r="Q182" s="208"/>
      <c r="R182" s="210"/>
      <c r="S182" s="210"/>
      <c r="T182" s="210">
        <v>41750</v>
      </c>
      <c r="U182" s="212">
        <f t="shared" si="23"/>
        <v>41750</v>
      </c>
      <c r="V182" s="210"/>
      <c r="W182" s="210"/>
      <c r="X182" s="210">
        <v>41750</v>
      </c>
      <c r="Y182" s="212">
        <f t="shared" si="24"/>
        <v>41750</v>
      </c>
      <c r="Z182" s="210"/>
      <c r="AA182" s="210"/>
      <c r="AB182" s="210">
        <v>41750</v>
      </c>
      <c r="AC182" s="212">
        <f t="shared" si="25"/>
        <v>41750</v>
      </c>
      <c r="AD182" s="210"/>
      <c r="AE182" s="210"/>
      <c r="AF182" s="210">
        <v>41750</v>
      </c>
      <c r="AG182" s="212">
        <f t="shared" si="26"/>
        <v>41750</v>
      </c>
      <c r="AH182" s="222">
        <f t="shared" si="22"/>
        <v>167000</v>
      </c>
      <c r="AI182" s="148" t="s">
        <v>326</v>
      </c>
    </row>
    <row r="183" spans="1:35" ht="16.5" customHeight="1">
      <c r="A183" s="236" t="s">
        <v>489</v>
      </c>
      <c r="B183" s="198"/>
      <c r="C183" s="8" t="s">
        <v>8</v>
      </c>
      <c r="F183" s="235"/>
      <c r="G183" s="257"/>
      <c r="H183" s="257">
        <f t="shared" si="29"/>
        <v>0</v>
      </c>
      <c r="I183" s="257"/>
      <c r="J183" s="257"/>
      <c r="K183" s="257"/>
      <c r="L183" s="282"/>
      <c r="M183" s="257"/>
      <c r="N183" s="257">
        <f t="shared" si="27"/>
        <v>0</v>
      </c>
      <c r="O183" s="257">
        <f t="shared" si="28"/>
        <v>0</v>
      </c>
      <c r="Q183" s="208"/>
      <c r="R183" s="210"/>
      <c r="S183" s="210"/>
      <c r="T183" s="210"/>
      <c r="U183" s="212">
        <f>SUM(R183:T183)</f>
        <v>0</v>
      </c>
      <c r="V183" s="210"/>
      <c r="W183" s="210"/>
      <c r="X183" s="210"/>
      <c r="Y183" s="212">
        <f>SUM(V183:X183)</f>
        <v>0</v>
      </c>
      <c r="Z183" s="210">
        <v>0</v>
      </c>
      <c r="AA183" s="210">
        <v>0</v>
      </c>
      <c r="AB183" s="222">
        <v>0</v>
      </c>
      <c r="AC183" s="212">
        <f t="shared" si="25"/>
        <v>0</v>
      </c>
      <c r="AD183" s="210">
        <v>0</v>
      </c>
      <c r="AE183" s="210">
        <v>0</v>
      </c>
      <c r="AF183" s="210">
        <v>0</v>
      </c>
      <c r="AG183" s="212">
        <f t="shared" si="26"/>
        <v>0</v>
      </c>
      <c r="AH183" s="222">
        <f t="shared" si="22"/>
        <v>0</v>
      </c>
      <c r="AI183" s="148" t="s">
        <v>326</v>
      </c>
    </row>
    <row r="184" spans="1:35" ht="16.5" customHeight="1">
      <c r="A184" s="218" t="s">
        <v>52</v>
      </c>
      <c r="B184" s="198"/>
      <c r="C184" s="8" t="s">
        <v>363</v>
      </c>
      <c r="F184" s="177">
        <v>191750</v>
      </c>
      <c r="G184" s="257"/>
      <c r="H184" s="257">
        <f t="shared" si="29"/>
        <v>191750</v>
      </c>
      <c r="I184" s="257"/>
      <c r="J184" s="257"/>
      <c r="K184" s="257"/>
      <c r="L184" s="282"/>
      <c r="M184" s="257"/>
      <c r="N184" s="257">
        <f t="shared" si="27"/>
        <v>191750</v>
      </c>
      <c r="O184" s="257">
        <f t="shared" si="28"/>
        <v>191750</v>
      </c>
      <c r="Q184" s="208"/>
      <c r="R184" s="210">
        <f>13000+10500</f>
        <v>23500</v>
      </c>
      <c r="S184" s="210">
        <v>40000</v>
      </c>
      <c r="T184" s="210">
        <v>45500</v>
      </c>
      <c r="U184" s="212">
        <f t="shared" si="23"/>
        <v>109000</v>
      </c>
      <c r="V184" s="210">
        <v>40000</v>
      </c>
      <c r="W184" s="210">
        <v>42750</v>
      </c>
      <c r="X184" s="210"/>
      <c r="Y184" s="212">
        <f t="shared" si="24"/>
        <v>82750</v>
      </c>
      <c r="Z184" s="210"/>
      <c r="AA184" s="210"/>
      <c r="AB184" s="210"/>
      <c r="AC184" s="212">
        <f t="shared" si="25"/>
        <v>0</v>
      </c>
      <c r="AD184" s="210"/>
      <c r="AE184" s="210"/>
      <c r="AF184" s="210"/>
      <c r="AG184" s="212">
        <f t="shared" si="26"/>
        <v>0</v>
      </c>
      <c r="AH184" s="222">
        <f t="shared" si="22"/>
        <v>191750</v>
      </c>
      <c r="AI184" s="148" t="s">
        <v>326</v>
      </c>
    </row>
    <row r="185" spans="1:35" ht="16.5" customHeight="1">
      <c r="A185" s="218" t="s">
        <v>339</v>
      </c>
      <c r="B185" s="198"/>
      <c r="C185" s="8" t="s">
        <v>340</v>
      </c>
      <c r="F185" s="177">
        <v>1000</v>
      </c>
      <c r="G185" s="257"/>
      <c r="H185" s="257">
        <f t="shared" si="29"/>
        <v>1000</v>
      </c>
      <c r="I185" s="257"/>
      <c r="J185" s="257"/>
      <c r="K185" s="257"/>
      <c r="L185" s="282"/>
      <c r="M185" s="257"/>
      <c r="N185" s="257">
        <f t="shared" si="27"/>
        <v>1000</v>
      </c>
      <c r="O185" s="257">
        <f t="shared" si="28"/>
        <v>1000</v>
      </c>
      <c r="Q185" s="208"/>
      <c r="R185" s="210">
        <v>1000</v>
      </c>
      <c r="S185" s="210"/>
      <c r="T185" s="210"/>
      <c r="U185" s="212">
        <f t="shared" si="23"/>
        <v>1000</v>
      </c>
      <c r="V185" s="210"/>
      <c r="W185" s="210"/>
      <c r="X185" s="210"/>
      <c r="Y185" s="212">
        <f t="shared" si="24"/>
        <v>0</v>
      </c>
      <c r="Z185" s="210"/>
      <c r="AA185" s="210"/>
      <c r="AB185" s="210"/>
      <c r="AC185" s="212">
        <f t="shared" si="25"/>
        <v>0</v>
      </c>
      <c r="AD185" s="210"/>
      <c r="AE185" s="210"/>
      <c r="AF185" s="210"/>
      <c r="AG185" s="212">
        <f t="shared" si="26"/>
        <v>0</v>
      </c>
      <c r="AH185" s="222">
        <f t="shared" si="22"/>
        <v>1000</v>
      </c>
      <c r="AI185" s="148" t="s">
        <v>0</v>
      </c>
    </row>
    <row r="186" spans="1:35" ht="16.5" customHeight="1">
      <c r="A186" s="218" t="s">
        <v>5</v>
      </c>
      <c r="B186" s="198"/>
      <c r="C186" s="8" t="s">
        <v>4</v>
      </c>
      <c r="F186" s="177">
        <v>17630</v>
      </c>
      <c r="G186" s="257"/>
      <c r="H186" s="257">
        <f t="shared" si="29"/>
        <v>17630</v>
      </c>
      <c r="I186" s="257"/>
      <c r="J186" s="257"/>
      <c r="K186" s="257"/>
      <c r="L186" s="282"/>
      <c r="M186" s="257"/>
      <c r="N186" s="257">
        <f t="shared" si="27"/>
        <v>17630</v>
      </c>
      <c r="O186" s="257">
        <f t="shared" si="28"/>
        <v>17630</v>
      </c>
      <c r="P186" s="9">
        <f>(783.6+98.09*3)*12</f>
        <v>12934.439999999999</v>
      </c>
      <c r="Q186" s="208"/>
      <c r="R186" s="210">
        <v>1468</v>
      </c>
      <c r="S186" s="210">
        <v>1468</v>
      </c>
      <c r="T186" s="210">
        <v>1469</v>
      </c>
      <c r="U186" s="212">
        <f t="shared" si="23"/>
        <v>4405</v>
      </c>
      <c r="V186" s="210">
        <v>1468</v>
      </c>
      <c r="W186" s="210">
        <v>1468</v>
      </c>
      <c r="X186" s="210">
        <v>1469</v>
      </c>
      <c r="Y186" s="212">
        <f t="shared" si="24"/>
        <v>4405</v>
      </c>
      <c r="Z186" s="210">
        <v>1468</v>
      </c>
      <c r="AA186" s="210">
        <v>1468</v>
      </c>
      <c r="AB186" s="210">
        <v>1469</v>
      </c>
      <c r="AC186" s="212">
        <f t="shared" si="25"/>
        <v>4405</v>
      </c>
      <c r="AD186" s="210">
        <v>1468</v>
      </c>
      <c r="AE186" s="210">
        <v>1468</v>
      </c>
      <c r="AF186" s="210">
        <v>1479</v>
      </c>
      <c r="AG186" s="212">
        <f t="shared" si="26"/>
        <v>4415</v>
      </c>
      <c r="AH186" s="222">
        <f t="shared" si="22"/>
        <v>17630</v>
      </c>
      <c r="AI186" s="148" t="s">
        <v>0</v>
      </c>
    </row>
    <row r="187" spans="1:35" ht="16.5" customHeight="1">
      <c r="A187" s="218" t="s">
        <v>368</v>
      </c>
      <c r="B187" s="198"/>
      <c r="C187" s="8" t="s">
        <v>369</v>
      </c>
      <c r="D187" s="404"/>
      <c r="E187" s="404"/>
      <c r="F187" s="238">
        <f>45000-600</f>
        <v>44400</v>
      </c>
      <c r="G187" s="257"/>
      <c r="H187" s="257">
        <f t="shared" si="29"/>
        <v>44400</v>
      </c>
      <c r="I187" s="257"/>
      <c r="J187" s="257"/>
      <c r="K187" s="257"/>
      <c r="L187" s="282" t="s">
        <v>927</v>
      </c>
      <c r="M187" s="257">
        <f>600+51226</f>
        <v>51826</v>
      </c>
      <c r="N187" s="257">
        <f t="shared" si="27"/>
        <v>96226</v>
      </c>
      <c r="O187" s="257">
        <f t="shared" si="28"/>
        <v>96226</v>
      </c>
      <c r="Q187" s="208"/>
      <c r="R187" s="210"/>
      <c r="S187" s="210"/>
      <c r="T187" s="210"/>
      <c r="U187" s="212">
        <f t="shared" si="23"/>
        <v>0</v>
      </c>
      <c r="V187" s="210"/>
      <c r="W187" s="210"/>
      <c r="X187" s="210"/>
      <c r="Y187" s="212">
        <f t="shared" si="24"/>
        <v>0</v>
      </c>
      <c r="Z187" s="210">
        <v>20000</v>
      </c>
      <c r="AA187" s="210">
        <v>0</v>
      </c>
      <c r="AB187" s="210"/>
      <c r="AC187" s="212">
        <f t="shared" si="25"/>
        <v>20000</v>
      </c>
      <c r="AD187" s="210">
        <v>25000</v>
      </c>
      <c r="AE187" s="210"/>
      <c r="AF187" s="210"/>
      <c r="AG187" s="212">
        <f t="shared" si="26"/>
        <v>25000</v>
      </c>
      <c r="AH187" s="222">
        <f t="shared" si="22"/>
        <v>45000</v>
      </c>
      <c r="AI187" s="148" t="s">
        <v>0</v>
      </c>
    </row>
    <row r="188" spans="1:35" s="215" customFormat="1" ht="16.5" customHeight="1">
      <c r="A188" s="213"/>
      <c r="B188" s="213"/>
      <c r="C188" s="214"/>
      <c r="F188" s="173">
        <f>SUM(F163:F187)</f>
        <v>981400</v>
      </c>
      <c r="G188" s="258"/>
      <c r="H188" s="258"/>
      <c r="I188" s="258"/>
      <c r="J188" s="258"/>
      <c r="K188" s="258"/>
      <c r="L188" s="282"/>
      <c r="M188" s="258"/>
      <c r="N188" s="257"/>
      <c r="O188" s="257"/>
      <c r="R188" s="216">
        <f>SUM(R163:R187)</f>
        <v>37629</v>
      </c>
      <c r="S188" s="216">
        <f>SUM(S163:S187)</f>
        <v>52437</v>
      </c>
      <c r="T188" s="216">
        <f>SUM(T163:T187)</f>
        <v>189934</v>
      </c>
      <c r="U188" s="216">
        <f t="shared" si="23"/>
        <v>280000</v>
      </c>
      <c r="V188" s="216">
        <f>SUM(V163:V187)</f>
        <v>53375</v>
      </c>
      <c r="W188" s="216">
        <f>SUM(W163:W187)</f>
        <v>58387</v>
      </c>
      <c r="X188" s="216">
        <f>SUM(X163:X187)</f>
        <v>143038</v>
      </c>
      <c r="Y188" s="216">
        <f t="shared" si="24"/>
        <v>254800</v>
      </c>
      <c r="Z188" s="216">
        <f>SUM(Z163:Z187)</f>
        <v>38764</v>
      </c>
      <c r="AA188" s="216">
        <f>SUM(AA163:AA187)</f>
        <v>18798</v>
      </c>
      <c r="AB188" s="216">
        <f>SUM(AB163:AB187)</f>
        <v>159438</v>
      </c>
      <c r="AC188" s="216">
        <f t="shared" si="25"/>
        <v>217000</v>
      </c>
      <c r="AD188" s="216">
        <f>SUM(AD163:AD187)</f>
        <v>60137</v>
      </c>
      <c r="AE188" s="216">
        <f>SUM(AE163:AE187)</f>
        <v>26637</v>
      </c>
      <c r="AF188" s="216">
        <f>SUM(AF163:AF187)</f>
        <v>143426</v>
      </c>
      <c r="AG188" s="216">
        <f>SUM(AD188:AF188)</f>
        <v>230200</v>
      </c>
      <c r="AH188" s="216">
        <f t="shared" si="22"/>
        <v>982000</v>
      </c>
      <c r="AI188" s="217"/>
    </row>
    <row r="189" spans="1:35" ht="16.5" customHeight="1">
      <c r="A189" s="218" t="s">
        <v>459</v>
      </c>
      <c r="B189" s="199"/>
      <c r="C189" s="8"/>
      <c r="F189" s="177">
        <v>300000</v>
      </c>
      <c r="G189" s="257"/>
      <c r="H189" s="257">
        <f>F189</f>
        <v>300000</v>
      </c>
      <c r="I189" s="257"/>
      <c r="J189" s="257"/>
      <c r="K189" s="257"/>
      <c r="L189" s="282"/>
      <c r="M189" s="257"/>
      <c r="N189" s="257">
        <f>H189+M189</f>
        <v>300000</v>
      </c>
      <c r="O189" s="257">
        <f>N189-K189</f>
        <v>300000</v>
      </c>
      <c r="Q189" s="208"/>
      <c r="R189" s="210">
        <v>20000</v>
      </c>
      <c r="S189" s="210">
        <v>32470</v>
      </c>
      <c r="T189" s="210">
        <v>42270</v>
      </c>
      <c r="U189" s="212">
        <f t="shared" si="23"/>
        <v>94740</v>
      </c>
      <c r="V189" s="210">
        <v>22800</v>
      </c>
      <c r="W189" s="210">
        <v>22800</v>
      </c>
      <c r="X189" s="210">
        <v>22800</v>
      </c>
      <c r="Y189" s="212">
        <f t="shared" si="24"/>
        <v>68400</v>
      </c>
      <c r="Z189" s="210">
        <v>22800</v>
      </c>
      <c r="AA189" s="210">
        <v>22800</v>
      </c>
      <c r="AB189" s="210">
        <v>22800</v>
      </c>
      <c r="AC189" s="212">
        <f t="shared" si="25"/>
        <v>68400</v>
      </c>
      <c r="AD189" s="210">
        <v>22800</v>
      </c>
      <c r="AE189" s="210">
        <v>22800</v>
      </c>
      <c r="AF189" s="210">
        <v>22860</v>
      </c>
      <c r="AG189" s="212">
        <f t="shared" si="26"/>
        <v>68460</v>
      </c>
      <c r="AH189" s="210">
        <f t="shared" si="22"/>
        <v>300000</v>
      </c>
      <c r="AI189" s="148" t="s">
        <v>472</v>
      </c>
    </row>
    <row r="190" spans="1:35" ht="16.5" customHeight="1">
      <c r="A190" s="218" t="s">
        <v>460</v>
      </c>
      <c r="B190" s="199"/>
      <c r="C190" s="8"/>
      <c r="F190" s="177">
        <v>400000</v>
      </c>
      <c r="G190" s="257"/>
      <c r="H190" s="257"/>
      <c r="I190" s="257"/>
      <c r="J190" s="257"/>
      <c r="K190" s="257"/>
      <c r="L190" s="282"/>
      <c r="M190" s="257"/>
      <c r="N190" s="257">
        <f>H190+M190</f>
        <v>0</v>
      </c>
      <c r="O190" s="257">
        <f>N190-K190</f>
        <v>0</v>
      </c>
      <c r="Q190" s="208"/>
      <c r="R190" s="210"/>
      <c r="S190" s="210"/>
      <c r="T190" s="210"/>
      <c r="U190" s="212">
        <f t="shared" si="23"/>
        <v>0</v>
      </c>
      <c r="V190" s="210">
        <v>22150</v>
      </c>
      <c r="W190" s="210">
        <v>38300</v>
      </c>
      <c r="X190" s="210">
        <v>30375</v>
      </c>
      <c r="Y190" s="212">
        <f t="shared" si="24"/>
        <v>90825</v>
      </c>
      <c r="Z190" s="210">
        <v>27400</v>
      </c>
      <c r="AA190" s="210">
        <v>30375</v>
      </c>
      <c r="AB190" s="210">
        <v>30400</v>
      </c>
      <c r="AC190" s="212">
        <f t="shared" si="25"/>
        <v>88175</v>
      </c>
      <c r="AD190" s="210">
        <v>77200</v>
      </c>
      <c r="AE190" s="210">
        <v>71930</v>
      </c>
      <c r="AF190" s="210">
        <v>71870</v>
      </c>
      <c r="AG190" s="212">
        <f t="shared" si="26"/>
        <v>221000</v>
      </c>
      <c r="AH190" s="210">
        <f t="shared" si="22"/>
        <v>400000</v>
      </c>
      <c r="AI190" s="148" t="s">
        <v>472</v>
      </c>
    </row>
    <row r="191" spans="1:35" s="215" customFormat="1" ht="16.5" customHeight="1">
      <c r="A191" s="213"/>
      <c r="B191" s="213"/>
      <c r="C191" s="214"/>
      <c r="F191" s="173">
        <f>SUM(F189:F190)</f>
        <v>700000</v>
      </c>
      <c r="G191" s="258"/>
      <c r="H191" s="258"/>
      <c r="I191" s="258"/>
      <c r="J191" s="258"/>
      <c r="K191" s="258"/>
      <c r="L191" s="282"/>
      <c r="M191" s="258"/>
      <c r="N191" s="257"/>
      <c r="O191" s="257"/>
      <c r="R191" s="216">
        <f>SUM(R189:R190)</f>
        <v>20000</v>
      </c>
      <c r="S191" s="216">
        <f>SUM(S189:S190)</f>
        <v>32470</v>
      </c>
      <c r="T191" s="216">
        <f>SUM(T189:T190)</f>
        <v>42270</v>
      </c>
      <c r="U191" s="216">
        <f t="shared" si="23"/>
        <v>94740</v>
      </c>
      <c r="V191" s="216">
        <f>SUM(V189:V190)</f>
        <v>44950</v>
      </c>
      <c r="W191" s="216">
        <f>SUM(W189:W190)</f>
        <v>61100</v>
      </c>
      <c r="X191" s="216">
        <f>SUM(X189:X190)</f>
        <v>53175</v>
      </c>
      <c r="Y191" s="216">
        <f t="shared" si="24"/>
        <v>159225</v>
      </c>
      <c r="Z191" s="216">
        <f>SUM(Z189:Z190)</f>
        <v>50200</v>
      </c>
      <c r="AA191" s="216">
        <f>SUM(AA189:AA190)</f>
        <v>53175</v>
      </c>
      <c r="AB191" s="216">
        <f>SUM(AB189:AB190)</f>
        <v>53200</v>
      </c>
      <c r="AC191" s="216">
        <f t="shared" si="25"/>
        <v>156575</v>
      </c>
      <c r="AD191" s="216">
        <f>SUM(AD189:AD190)</f>
        <v>100000</v>
      </c>
      <c r="AE191" s="216">
        <f>SUM(AE189:AE190)</f>
        <v>94730</v>
      </c>
      <c r="AF191" s="216">
        <f>SUM(AF189:AF190)</f>
        <v>94730</v>
      </c>
      <c r="AG191" s="216">
        <f t="shared" si="26"/>
        <v>289460</v>
      </c>
      <c r="AH191" s="216">
        <f t="shared" si="22"/>
        <v>700000</v>
      </c>
      <c r="AI191" s="217"/>
    </row>
    <row r="192" spans="1:35" ht="16.5" customHeight="1">
      <c r="A192" s="218" t="s">
        <v>407</v>
      </c>
      <c r="C192" s="8" t="s">
        <v>406</v>
      </c>
      <c r="F192" s="177">
        <v>40000</v>
      </c>
      <c r="G192" s="257"/>
      <c r="H192" s="257">
        <f>F192</f>
        <v>40000</v>
      </c>
      <c r="I192" s="257"/>
      <c r="J192" s="257"/>
      <c r="K192" s="257"/>
      <c r="L192" s="282"/>
      <c r="M192" s="257"/>
      <c r="N192" s="257">
        <f>H192+M192</f>
        <v>40000</v>
      </c>
      <c r="O192" s="257">
        <f>N192-K192</f>
        <v>40000</v>
      </c>
      <c r="R192" s="210"/>
      <c r="S192" s="210"/>
      <c r="T192" s="210">
        <v>40000</v>
      </c>
      <c r="U192" s="212">
        <f t="shared" si="23"/>
        <v>40000</v>
      </c>
      <c r="V192" s="210"/>
      <c r="W192" s="210"/>
      <c r="X192" s="210"/>
      <c r="Y192" s="212">
        <f t="shared" si="24"/>
        <v>0</v>
      </c>
      <c r="Z192" s="210"/>
      <c r="AA192" s="210"/>
      <c r="AB192" s="210"/>
      <c r="AC192" s="212">
        <f t="shared" si="25"/>
        <v>0</v>
      </c>
      <c r="AD192" s="210"/>
      <c r="AE192" s="210"/>
      <c r="AF192" s="210"/>
      <c r="AG192" s="212">
        <f t="shared" si="26"/>
        <v>0</v>
      </c>
      <c r="AH192" s="210">
        <f t="shared" si="22"/>
        <v>40000</v>
      </c>
      <c r="AI192" s="148" t="s">
        <v>326</v>
      </c>
    </row>
    <row r="193" spans="1:35" ht="16.5" customHeight="1">
      <c r="A193" s="218" t="s">
        <v>411</v>
      </c>
      <c r="C193" s="196" t="s">
        <v>277</v>
      </c>
      <c r="D193" s="9">
        <v>7050</v>
      </c>
      <c r="E193" s="9">
        <v>10</v>
      </c>
      <c r="F193" s="177">
        <f>D193*E193</f>
        <v>70500</v>
      </c>
      <c r="G193" s="257"/>
      <c r="H193" s="257">
        <f>F193</f>
        <v>70500</v>
      </c>
      <c r="I193" s="257"/>
      <c r="J193" s="257"/>
      <c r="K193" s="257"/>
      <c r="L193" s="282"/>
      <c r="M193" s="257"/>
      <c r="N193" s="257">
        <f>H193+M193</f>
        <v>70500</v>
      </c>
      <c r="O193" s="257">
        <f>N193-K193</f>
        <v>70500</v>
      </c>
      <c r="Q193" s="206"/>
      <c r="R193" s="210"/>
      <c r="S193" s="210"/>
      <c r="T193" s="210">
        <v>29500</v>
      </c>
      <c r="U193" s="212">
        <f t="shared" si="23"/>
        <v>29500</v>
      </c>
      <c r="V193" s="210"/>
      <c r="W193" s="210"/>
      <c r="X193" s="210"/>
      <c r="Y193" s="212">
        <f t="shared" si="24"/>
        <v>0</v>
      </c>
      <c r="Z193" s="210"/>
      <c r="AA193" s="210"/>
      <c r="AB193" s="210">
        <v>41000</v>
      </c>
      <c r="AC193" s="212">
        <f t="shared" si="25"/>
        <v>41000</v>
      </c>
      <c r="AD193" s="210"/>
      <c r="AE193" s="210"/>
      <c r="AF193" s="210"/>
      <c r="AG193" s="212">
        <f t="shared" si="26"/>
        <v>0</v>
      </c>
      <c r="AH193" s="210">
        <f t="shared" si="22"/>
        <v>70500</v>
      </c>
      <c r="AI193" s="148" t="s">
        <v>326</v>
      </c>
    </row>
    <row r="194" spans="1:35" ht="16.5" customHeight="1">
      <c r="A194" s="218" t="s">
        <v>426</v>
      </c>
      <c r="C194" s="8" t="s">
        <v>219</v>
      </c>
      <c r="F194" s="177">
        <f>183200-F195+6300</f>
        <v>30500</v>
      </c>
      <c r="G194" s="257"/>
      <c r="H194" s="257">
        <f>F194</f>
        <v>30500</v>
      </c>
      <c r="I194" s="257"/>
      <c r="J194" s="257"/>
      <c r="K194" s="257"/>
      <c r="L194" s="282"/>
      <c r="M194" s="257"/>
      <c r="N194" s="257">
        <f>H194+M194</f>
        <v>30500</v>
      </c>
      <c r="O194" s="257">
        <f>N194-K194</f>
        <v>30500</v>
      </c>
      <c r="R194" s="210"/>
      <c r="S194" s="210"/>
      <c r="T194" s="210">
        <v>30500</v>
      </c>
      <c r="U194" s="212">
        <f t="shared" si="23"/>
        <v>30500</v>
      </c>
      <c r="V194" s="210"/>
      <c r="W194" s="210"/>
      <c r="X194" s="210"/>
      <c r="Y194" s="212">
        <f t="shared" si="24"/>
        <v>0</v>
      </c>
      <c r="Z194" s="210"/>
      <c r="AA194" s="210"/>
      <c r="AB194" s="210"/>
      <c r="AC194" s="212">
        <f t="shared" si="25"/>
        <v>0</v>
      </c>
      <c r="AD194" s="210"/>
      <c r="AE194" s="210"/>
      <c r="AF194" s="210"/>
      <c r="AG194" s="212">
        <f t="shared" si="26"/>
        <v>0</v>
      </c>
      <c r="AH194" s="210">
        <f t="shared" si="22"/>
        <v>30500</v>
      </c>
      <c r="AI194" s="148" t="s">
        <v>326</v>
      </c>
    </row>
    <row r="195" spans="1:35" ht="16.5" customHeight="1">
      <c r="A195" s="218" t="s">
        <v>427</v>
      </c>
      <c r="C195" s="8" t="s">
        <v>406</v>
      </c>
      <c r="D195" s="9">
        <v>79500</v>
      </c>
      <c r="E195" s="9">
        <v>2</v>
      </c>
      <c r="F195" s="177">
        <f>D195*E195</f>
        <v>159000</v>
      </c>
      <c r="G195" s="257"/>
      <c r="H195" s="257">
        <f>F195</f>
        <v>159000</v>
      </c>
      <c r="I195" s="257"/>
      <c r="J195" s="257"/>
      <c r="K195" s="257"/>
      <c r="L195" s="282"/>
      <c r="M195" s="257"/>
      <c r="N195" s="257">
        <f>H195+M195</f>
        <v>159000</v>
      </c>
      <c r="O195" s="257">
        <f>N195-K195</f>
        <v>159000</v>
      </c>
      <c r="R195" s="210"/>
      <c r="S195" s="210"/>
      <c r="T195" s="210"/>
      <c r="U195" s="212">
        <f t="shared" si="23"/>
        <v>0</v>
      </c>
      <c r="V195" s="210"/>
      <c r="W195" s="210"/>
      <c r="X195" s="210"/>
      <c r="Y195" s="212">
        <f t="shared" si="24"/>
        <v>0</v>
      </c>
      <c r="Z195" s="210"/>
      <c r="AA195" s="210"/>
      <c r="AB195" s="210">
        <v>159000</v>
      </c>
      <c r="AC195" s="212">
        <f t="shared" si="25"/>
        <v>159000</v>
      </c>
      <c r="AD195" s="210"/>
      <c r="AE195" s="210"/>
      <c r="AF195" s="210"/>
      <c r="AG195" s="212">
        <f t="shared" si="26"/>
        <v>0</v>
      </c>
      <c r="AH195" s="210">
        <f t="shared" si="22"/>
        <v>159000</v>
      </c>
      <c r="AI195" s="148" t="s">
        <v>326</v>
      </c>
    </row>
    <row r="196" spans="1:35" ht="16.5" customHeight="1">
      <c r="A196" s="290" t="s">
        <v>15</v>
      </c>
      <c r="B196" s="291"/>
      <c r="C196" s="292" t="s">
        <v>230</v>
      </c>
      <c r="D196" s="293"/>
      <c r="E196" s="293"/>
      <c r="F196" s="294">
        <v>8000</v>
      </c>
      <c r="G196" s="257"/>
      <c r="H196" s="257"/>
      <c r="I196" s="257"/>
      <c r="J196" s="257"/>
      <c r="K196" s="257"/>
      <c r="L196" s="282"/>
      <c r="M196" s="257"/>
      <c r="N196" s="257">
        <f>H196+M196</f>
        <v>0</v>
      </c>
      <c r="O196" s="257">
        <f>N196-K196</f>
        <v>0</v>
      </c>
      <c r="Q196" s="69"/>
      <c r="R196" s="210">
        <v>0</v>
      </c>
      <c r="S196" s="210">
        <v>8000</v>
      </c>
      <c r="T196" s="210"/>
      <c r="U196" s="212">
        <f t="shared" si="23"/>
        <v>8000</v>
      </c>
      <c r="V196" s="210"/>
      <c r="W196" s="210"/>
      <c r="X196" s="210"/>
      <c r="Y196" s="212">
        <f t="shared" si="24"/>
        <v>0</v>
      </c>
      <c r="Z196" s="210"/>
      <c r="AA196" s="210"/>
      <c r="AB196" s="210"/>
      <c r="AC196" s="212">
        <f t="shared" si="25"/>
        <v>0</v>
      </c>
      <c r="AD196" s="210"/>
      <c r="AE196" s="210"/>
      <c r="AF196" s="210"/>
      <c r="AG196" s="212">
        <f t="shared" si="26"/>
        <v>0</v>
      </c>
      <c r="AH196" s="210">
        <f t="shared" si="22"/>
        <v>8000</v>
      </c>
      <c r="AI196" s="148" t="s">
        <v>0</v>
      </c>
    </row>
    <row r="197" spans="1:35" s="215" customFormat="1" ht="16.5" customHeight="1">
      <c r="A197" s="213"/>
      <c r="B197" s="213"/>
      <c r="C197" s="214"/>
      <c r="F197" s="173">
        <f>SUM(F192:F196)</f>
        <v>308000</v>
      </c>
      <c r="G197" s="258"/>
      <c r="H197" s="258"/>
      <c r="I197" s="258"/>
      <c r="J197" s="258"/>
      <c r="K197" s="258"/>
      <c r="L197" s="282"/>
      <c r="M197" s="258"/>
      <c r="N197" s="257"/>
      <c r="O197" s="257"/>
      <c r="R197" s="216">
        <f>SUM(R192:R196)</f>
        <v>0</v>
      </c>
      <c r="S197" s="216">
        <f>SUM(S192:S196)</f>
        <v>8000</v>
      </c>
      <c r="T197" s="216">
        <f>SUM(T192:T196)</f>
        <v>100000</v>
      </c>
      <c r="U197" s="216">
        <f t="shared" si="23"/>
        <v>108000</v>
      </c>
      <c r="V197" s="216">
        <f>SUM(V192:V196)</f>
        <v>0</v>
      </c>
      <c r="W197" s="216">
        <f>SUM(W192:W196)</f>
        <v>0</v>
      </c>
      <c r="X197" s="216">
        <f>SUM(X192:X196)</f>
        <v>0</v>
      </c>
      <c r="Y197" s="216">
        <f t="shared" si="24"/>
        <v>0</v>
      </c>
      <c r="Z197" s="216">
        <f>SUM(Z192:Z196)</f>
        <v>0</v>
      </c>
      <c r="AA197" s="216">
        <f>SUM(AA192:AA196)</f>
        <v>0</v>
      </c>
      <c r="AB197" s="216">
        <f>SUM(AB192:AB196)</f>
        <v>200000</v>
      </c>
      <c r="AC197" s="216">
        <f t="shared" si="25"/>
        <v>200000</v>
      </c>
      <c r="AD197" s="216">
        <f>SUM(AD192:AD196)</f>
        <v>0</v>
      </c>
      <c r="AE197" s="216">
        <f>SUM(AE192:AE196)</f>
        <v>0</v>
      </c>
      <c r="AF197" s="216">
        <f>SUM(AF192:AF196)</f>
        <v>0</v>
      </c>
      <c r="AG197" s="216">
        <f t="shared" si="26"/>
        <v>0</v>
      </c>
      <c r="AH197" s="216">
        <f t="shared" si="22"/>
        <v>308000</v>
      </c>
      <c r="AI197" s="217"/>
    </row>
    <row r="198" spans="1:35" ht="16.5" customHeight="1">
      <c r="A198" s="77" t="s">
        <v>466</v>
      </c>
      <c r="C198" s="8"/>
      <c r="F198" s="177">
        <v>22113666.68</v>
      </c>
      <c r="G198" s="257"/>
      <c r="H198" s="257">
        <f>F198</f>
        <v>22113666.68</v>
      </c>
      <c r="I198" s="257"/>
      <c r="J198" s="257"/>
      <c r="K198" s="257"/>
      <c r="L198" s="282"/>
      <c r="M198" s="257"/>
      <c r="N198" s="257">
        <f>H198+M198</f>
        <v>22113666.68</v>
      </c>
      <c r="O198" s="257">
        <f>N198-K198</f>
        <v>22113666.68</v>
      </c>
      <c r="R198" s="210">
        <v>1650000</v>
      </c>
      <c r="S198" s="210">
        <v>1890000</v>
      </c>
      <c r="T198" s="210">
        <v>2103479.59</v>
      </c>
      <c r="U198" s="212">
        <f t="shared" si="23"/>
        <v>5643479.59</v>
      </c>
      <c r="V198" s="210">
        <v>1839607.33</v>
      </c>
      <c r="W198" s="210">
        <v>1839607.33</v>
      </c>
      <c r="X198" s="210">
        <v>1839607.33</v>
      </c>
      <c r="Y198" s="212">
        <f t="shared" si="24"/>
        <v>5518821.99</v>
      </c>
      <c r="Z198" s="210">
        <v>1825106.23</v>
      </c>
      <c r="AA198" s="210">
        <v>1825106.23</v>
      </c>
      <c r="AB198" s="210">
        <v>1825106.24</v>
      </c>
      <c r="AC198" s="212">
        <f t="shared" si="25"/>
        <v>5475318.7</v>
      </c>
      <c r="AD198" s="210">
        <v>1825348.8</v>
      </c>
      <c r="AE198" s="210">
        <v>1825348.8</v>
      </c>
      <c r="AF198" s="210">
        <v>1825348.8</v>
      </c>
      <c r="AG198" s="212">
        <f t="shared" si="26"/>
        <v>5476046.4</v>
      </c>
      <c r="AH198" s="210">
        <f t="shared" si="22"/>
        <v>22113666.68</v>
      </c>
      <c r="AI198" s="148"/>
    </row>
    <row r="199" spans="1:35" ht="16.5" customHeight="1">
      <c r="A199" s="77" t="s">
        <v>467</v>
      </c>
      <c r="C199" s="8"/>
      <c r="F199" s="177">
        <v>4826815.13</v>
      </c>
      <c r="G199" s="257"/>
      <c r="H199" s="257">
        <f>F199</f>
        <v>4826815.13</v>
      </c>
      <c r="I199" s="257"/>
      <c r="J199" s="257"/>
      <c r="K199" s="257"/>
      <c r="L199" s="282"/>
      <c r="M199" s="257"/>
      <c r="N199" s="257">
        <f>H199+M199</f>
        <v>4826815.13</v>
      </c>
      <c r="O199" s="257">
        <f>N199-K199</f>
        <v>4826815.13</v>
      </c>
      <c r="R199" s="210">
        <v>360000</v>
      </c>
      <c r="S199" s="210">
        <v>415800</v>
      </c>
      <c r="T199" s="210">
        <v>456165.59</v>
      </c>
      <c r="U199" s="212">
        <f t="shared" si="23"/>
        <v>1231965.59</v>
      </c>
      <c r="V199" s="210">
        <v>401543.06</v>
      </c>
      <c r="W199" s="210">
        <v>401543.06</v>
      </c>
      <c r="X199" s="210">
        <v>401543.07</v>
      </c>
      <c r="Y199" s="212">
        <f t="shared" si="24"/>
        <v>1204629.19</v>
      </c>
      <c r="Z199" s="210">
        <v>398343.37</v>
      </c>
      <c r="AA199" s="210">
        <v>398343.37</v>
      </c>
      <c r="AB199" s="210">
        <v>398343.38</v>
      </c>
      <c r="AC199" s="212">
        <f t="shared" si="25"/>
        <v>1195030.12</v>
      </c>
      <c r="AD199" s="210">
        <v>398396.74</v>
      </c>
      <c r="AE199" s="210">
        <v>398396.74</v>
      </c>
      <c r="AF199" s="210">
        <v>398396.75</v>
      </c>
      <c r="AG199" s="212">
        <f t="shared" si="26"/>
        <v>1195190.23</v>
      </c>
      <c r="AH199" s="210">
        <f t="shared" si="22"/>
        <v>4826815.130000001</v>
      </c>
      <c r="AI199" s="148"/>
    </row>
    <row r="200" spans="1:35" ht="16.5" customHeight="1">
      <c r="A200" s="77" t="s">
        <v>468</v>
      </c>
      <c r="C200" s="8"/>
      <c r="F200" s="177">
        <v>3371400</v>
      </c>
      <c r="G200" s="257"/>
      <c r="H200" s="257">
        <f>F200</f>
        <v>3371400</v>
      </c>
      <c r="I200" s="257"/>
      <c r="J200" s="257"/>
      <c r="K200" s="257"/>
      <c r="L200" s="282"/>
      <c r="M200" s="257"/>
      <c r="N200" s="257">
        <f>H200+M200</f>
        <v>3371400</v>
      </c>
      <c r="O200" s="257">
        <f>N200-K200</f>
        <v>3371400</v>
      </c>
      <c r="R200" s="210">
        <v>260000</v>
      </c>
      <c r="S200" s="210">
        <v>300000</v>
      </c>
      <c r="T200" s="210">
        <v>340000</v>
      </c>
      <c r="U200" s="212">
        <f t="shared" si="23"/>
        <v>900000</v>
      </c>
      <c r="V200" s="210">
        <v>285133.33</v>
      </c>
      <c r="W200" s="210">
        <v>285133.33</v>
      </c>
      <c r="X200" s="210">
        <v>285133.34</v>
      </c>
      <c r="Y200" s="212">
        <f t="shared" si="24"/>
        <v>855400</v>
      </c>
      <c r="Z200" s="210">
        <v>269333.33</v>
      </c>
      <c r="AA200" s="210">
        <v>269333.33</v>
      </c>
      <c r="AB200" s="210">
        <v>269333.34</v>
      </c>
      <c r="AC200" s="212">
        <f t="shared" si="25"/>
        <v>808000</v>
      </c>
      <c r="AD200" s="210">
        <v>269333.33</v>
      </c>
      <c r="AE200" s="210">
        <v>269333.33</v>
      </c>
      <c r="AF200" s="210">
        <v>269333.34</v>
      </c>
      <c r="AG200" s="212">
        <f t="shared" si="26"/>
        <v>808000</v>
      </c>
      <c r="AH200" s="210">
        <f t="shared" si="22"/>
        <v>3371400</v>
      </c>
      <c r="AI200" s="148"/>
    </row>
    <row r="201" spans="1:35" ht="16.5" customHeight="1">
      <c r="A201" s="77" t="s">
        <v>469</v>
      </c>
      <c r="C201" s="8"/>
      <c r="F201" s="177">
        <v>741500</v>
      </c>
      <c r="G201" s="257"/>
      <c r="H201" s="257">
        <f>F201</f>
        <v>741500</v>
      </c>
      <c r="I201" s="257"/>
      <c r="J201" s="257"/>
      <c r="K201" s="257"/>
      <c r="L201" s="282"/>
      <c r="M201" s="257"/>
      <c r="N201" s="257">
        <f>H201+M201</f>
        <v>741500</v>
      </c>
      <c r="O201" s="257">
        <f>N201-K201</f>
        <v>741500</v>
      </c>
      <c r="R201" s="210">
        <v>57200</v>
      </c>
      <c r="S201" s="210">
        <v>66000</v>
      </c>
      <c r="T201" s="210">
        <v>74800</v>
      </c>
      <c r="U201" s="212">
        <f t="shared" si="23"/>
        <v>198000</v>
      </c>
      <c r="V201" s="210">
        <v>62700</v>
      </c>
      <c r="W201" s="210">
        <v>62700</v>
      </c>
      <c r="X201" s="210">
        <v>62700</v>
      </c>
      <c r="Y201" s="212">
        <f t="shared" si="24"/>
        <v>188100</v>
      </c>
      <c r="Z201" s="210">
        <v>59233.33</v>
      </c>
      <c r="AA201" s="210">
        <v>59233.33</v>
      </c>
      <c r="AB201" s="210">
        <v>59233.34</v>
      </c>
      <c r="AC201" s="212">
        <f t="shared" si="25"/>
        <v>177700</v>
      </c>
      <c r="AD201" s="210">
        <v>59233.33</v>
      </c>
      <c r="AE201" s="210">
        <v>59233.33</v>
      </c>
      <c r="AF201" s="210">
        <v>59233.34</v>
      </c>
      <c r="AG201" s="212">
        <f t="shared" si="26"/>
        <v>177700</v>
      </c>
      <c r="AH201" s="210">
        <f t="shared" si="22"/>
        <v>741500</v>
      </c>
      <c r="AI201" s="148"/>
    </row>
    <row r="202" spans="1:35" s="215" customFormat="1" ht="16.5" customHeight="1">
      <c r="A202" s="213"/>
      <c r="B202" s="219"/>
      <c r="C202" s="214"/>
      <c r="F202" s="173">
        <f>SUM(F198:F201)</f>
        <v>31053381.81</v>
      </c>
      <c r="G202" s="258"/>
      <c r="H202" s="258"/>
      <c r="I202" s="258"/>
      <c r="J202" s="258"/>
      <c r="K202" s="258"/>
      <c r="L202" s="282"/>
      <c r="M202" s="258"/>
      <c r="N202" s="257"/>
      <c r="O202" s="257"/>
      <c r="R202" s="216">
        <f>SUM(R198:R201)</f>
        <v>2327200</v>
      </c>
      <c r="S202" s="216">
        <f>SUM(S198:S201)</f>
        <v>2671800</v>
      </c>
      <c r="T202" s="216">
        <f>SUM(T198:T201)</f>
        <v>2974445.1799999997</v>
      </c>
      <c r="U202" s="216">
        <f t="shared" si="23"/>
        <v>7973445.18</v>
      </c>
      <c r="V202" s="216">
        <f>SUM(V198:V201)</f>
        <v>2588983.72</v>
      </c>
      <c r="W202" s="216">
        <f>SUM(W198:W201)</f>
        <v>2588983.72</v>
      </c>
      <c r="X202" s="216">
        <f>SUM(X198:X201)</f>
        <v>2588983.7399999998</v>
      </c>
      <c r="Y202" s="216">
        <f t="shared" si="24"/>
        <v>7766951.18</v>
      </c>
      <c r="Z202" s="216">
        <f>SUM(Z198:Z201)</f>
        <v>2552016.2600000002</v>
      </c>
      <c r="AA202" s="216">
        <f>SUM(AA198:AA201)</f>
        <v>2552016.2600000002</v>
      </c>
      <c r="AB202" s="216">
        <f>SUM(AB198:AB201)</f>
        <v>2552016.3</v>
      </c>
      <c r="AC202" s="216">
        <f t="shared" si="25"/>
        <v>7656048.82</v>
      </c>
      <c r="AD202" s="216">
        <f>SUM(AD198:AD201)</f>
        <v>2552312.2</v>
      </c>
      <c r="AE202" s="216">
        <f>SUM(AE198:AE201)</f>
        <v>2552312.2</v>
      </c>
      <c r="AF202" s="216">
        <f>SUM(AF198:AF201)</f>
        <v>2552312.2299999995</v>
      </c>
      <c r="AG202" s="216">
        <f t="shared" si="26"/>
        <v>7656936.63</v>
      </c>
      <c r="AH202" s="216">
        <f t="shared" si="22"/>
        <v>31053381.81</v>
      </c>
      <c r="AI202" s="217"/>
    </row>
    <row r="203" spans="1:35" ht="16.5" customHeight="1">
      <c r="A203" s="77" t="s">
        <v>470</v>
      </c>
      <c r="C203" s="8"/>
      <c r="F203" s="177">
        <v>48000</v>
      </c>
      <c r="G203" s="257"/>
      <c r="H203" s="257">
        <f>F203</f>
        <v>48000</v>
      </c>
      <c r="I203" s="257"/>
      <c r="J203" s="257"/>
      <c r="K203" s="257"/>
      <c r="L203" s="282"/>
      <c r="M203" s="257"/>
      <c r="N203" s="257">
        <f>H203+M203</f>
        <v>48000</v>
      </c>
      <c r="O203" s="257">
        <f>N203-K203</f>
        <v>48000</v>
      </c>
      <c r="R203" s="210">
        <v>0</v>
      </c>
      <c r="S203" s="210">
        <v>7500</v>
      </c>
      <c r="T203" s="210">
        <v>7500</v>
      </c>
      <c r="U203" s="212">
        <f t="shared" si="23"/>
        <v>15000</v>
      </c>
      <c r="V203" s="210">
        <v>5000</v>
      </c>
      <c r="W203" s="210">
        <v>5000</v>
      </c>
      <c r="X203" s="210">
        <v>5000</v>
      </c>
      <c r="Y203" s="212">
        <f t="shared" si="24"/>
        <v>15000</v>
      </c>
      <c r="Z203" s="210">
        <v>1000</v>
      </c>
      <c r="AA203" s="210">
        <v>4500</v>
      </c>
      <c r="AB203" s="210">
        <v>4500</v>
      </c>
      <c r="AC203" s="212">
        <f t="shared" si="25"/>
        <v>10000</v>
      </c>
      <c r="AD203" s="210">
        <v>3500</v>
      </c>
      <c r="AE203" s="210">
        <v>3500</v>
      </c>
      <c r="AF203" s="210">
        <v>1000</v>
      </c>
      <c r="AG203" s="212">
        <f t="shared" si="26"/>
        <v>8000</v>
      </c>
      <c r="AH203" s="210">
        <f t="shared" si="22"/>
        <v>48000</v>
      </c>
      <c r="AI203" s="148"/>
    </row>
    <row r="204" spans="1:35" ht="16.5" customHeight="1">
      <c r="A204" s="77" t="s">
        <v>471</v>
      </c>
      <c r="C204" s="8"/>
      <c r="F204" s="177">
        <v>7000</v>
      </c>
      <c r="G204" s="257"/>
      <c r="H204" s="257">
        <f>F204</f>
        <v>7000</v>
      </c>
      <c r="I204" s="257"/>
      <c r="J204" s="257"/>
      <c r="K204" s="257"/>
      <c r="L204" s="282"/>
      <c r="M204" s="257"/>
      <c r="N204" s="257">
        <f>H204+M204</f>
        <v>7000</v>
      </c>
      <c r="O204" s="257">
        <f>N204-K204</f>
        <v>7000</v>
      </c>
      <c r="R204" s="210">
        <v>0</v>
      </c>
      <c r="S204" s="210">
        <v>2000</v>
      </c>
      <c r="T204" s="210">
        <v>2000</v>
      </c>
      <c r="U204" s="212">
        <f t="shared" si="23"/>
        <v>4000</v>
      </c>
      <c r="V204" s="210">
        <v>350</v>
      </c>
      <c r="W204" s="210">
        <v>350</v>
      </c>
      <c r="X204" s="210">
        <v>300</v>
      </c>
      <c r="Y204" s="212">
        <f t="shared" si="24"/>
        <v>1000</v>
      </c>
      <c r="Z204" s="210">
        <v>0</v>
      </c>
      <c r="AA204" s="210">
        <v>500</v>
      </c>
      <c r="AB204" s="210">
        <v>500</v>
      </c>
      <c r="AC204" s="212">
        <f t="shared" si="25"/>
        <v>1000</v>
      </c>
      <c r="AD204" s="210">
        <v>500</v>
      </c>
      <c r="AE204" s="210">
        <v>500</v>
      </c>
      <c r="AF204" s="210">
        <v>0</v>
      </c>
      <c r="AG204" s="212">
        <f t="shared" si="26"/>
        <v>1000</v>
      </c>
      <c r="AH204" s="210">
        <f t="shared" si="22"/>
        <v>7000</v>
      </c>
      <c r="AI204" s="148"/>
    </row>
    <row r="205" spans="1:35" s="215" customFormat="1" ht="16.5" customHeight="1">
      <c r="A205" s="213"/>
      <c r="B205" s="219"/>
      <c r="C205" s="214"/>
      <c r="F205" s="173">
        <f>SUM(F203:F204)</f>
        <v>55000</v>
      </c>
      <c r="G205" s="258"/>
      <c r="H205" s="258"/>
      <c r="I205" s="258"/>
      <c r="J205" s="258"/>
      <c r="K205" s="258"/>
      <c r="L205" s="282"/>
      <c r="M205" s="258"/>
      <c r="N205" s="258"/>
      <c r="O205" s="258"/>
      <c r="R205" s="216">
        <f>SUM(R203:R204)</f>
        <v>0</v>
      </c>
      <c r="S205" s="216">
        <f>SUM(S203:S204)</f>
        <v>9500</v>
      </c>
      <c r="T205" s="216">
        <f>SUM(T203:T204)</f>
        <v>9500</v>
      </c>
      <c r="U205" s="216">
        <f t="shared" si="23"/>
        <v>19000</v>
      </c>
      <c r="V205" s="216">
        <f>SUM(V203:V204)</f>
        <v>5350</v>
      </c>
      <c r="W205" s="216">
        <f>SUM(W203:W204)</f>
        <v>5350</v>
      </c>
      <c r="X205" s="216">
        <f>SUM(X203:X204)</f>
        <v>5300</v>
      </c>
      <c r="Y205" s="216">
        <f t="shared" si="24"/>
        <v>16000</v>
      </c>
      <c r="Z205" s="216">
        <f>SUM(Z203:Z204)</f>
        <v>1000</v>
      </c>
      <c r="AA205" s="216">
        <f>SUM(AA203:AA204)</f>
        <v>5000</v>
      </c>
      <c r="AB205" s="216">
        <f>SUM(AB203:AB204)</f>
        <v>5000</v>
      </c>
      <c r="AC205" s="216">
        <f t="shared" si="25"/>
        <v>11000</v>
      </c>
      <c r="AD205" s="216">
        <f>SUM(AD203:AD204)</f>
        <v>4000</v>
      </c>
      <c r="AE205" s="216">
        <f>SUM(AE203:AE204)</f>
        <v>4000</v>
      </c>
      <c r="AF205" s="216">
        <f>SUM(AF203:AF204)</f>
        <v>1000</v>
      </c>
      <c r="AG205" s="216">
        <f t="shared" si="26"/>
        <v>9000</v>
      </c>
      <c r="AH205" s="216">
        <f t="shared" si="22"/>
        <v>55000</v>
      </c>
      <c r="AI205" s="217"/>
    </row>
    <row r="206" spans="1:35" ht="16.5" customHeight="1">
      <c r="A206" s="77"/>
      <c r="C206" s="8"/>
      <c r="F206" s="177"/>
      <c r="G206" s="257"/>
      <c r="H206" s="257"/>
      <c r="I206" s="257"/>
      <c r="J206" s="257"/>
      <c r="K206" s="257"/>
      <c r="L206" s="282"/>
      <c r="M206" s="257"/>
      <c r="N206" s="257"/>
      <c r="O206" s="257"/>
      <c r="R206" s="210"/>
      <c r="S206" s="210"/>
      <c r="T206" s="210"/>
      <c r="U206" s="212">
        <f t="shared" si="23"/>
        <v>0</v>
      </c>
      <c r="V206" s="210"/>
      <c r="W206" s="210"/>
      <c r="X206" s="210"/>
      <c r="Y206" s="212">
        <f t="shared" si="24"/>
        <v>0</v>
      </c>
      <c r="Z206" s="210"/>
      <c r="AA206" s="210"/>
      <c r="AB206" s="210"/>
      <c r="AC206" s="212">
        <f t="shared" si="25"/>
        <v>0</v>
      </c>
      <c r="AD206" s="210"/>
      <c r="AE206" s="210"/>
      <c r="AF206" s="210"/>
      <c r="AG206" s="212">
        <f t="shared" si="26"/>
        <v>0</v>
      </c>
      <c r="AH206" s="210">
        <f t="shared" si="22"/>
        <v>0</v>
      </c>
      <c r="AI206" s="148"/>
    </row>
    <row r="207" spans="1:35" ht="16.5" customHeight="1">
      <c r="A207" s="77"/>
      <c r="C207" s="8"/>
      <c r="F207" s="177"/>
      <c r="G207" s="257"/>
      <c r="H207" s="257"/>
      <c r="I207" s="257"/>
      <c r="J207" s="257"/>
      <c r="K207" s="257"/>
      <c r="L207" s="282"/>
      <c r="M207" s="257"/>
      <c r="N207" s="257"/>
      <c r="O207" s="257"/>
      <c r="R207" s="210"/>
      <c r="S207" s="210"/>
      <c r="T207" s="210"/>
      <c r="U207" s="212">
        <f t="shared" si="23"/>
        <v>0</v>
      </c>
      <c r="V207" s="210"/>
      <c r="W207" s="210"/>
      <c r="X207" s="210"/>
      <c r="Y207" s="212">
        <f t="shared" si="24"/>
        <v>0</v>
      </c>
      <c r="Z207" s="210"/>
      <c r="AA207" s="210"/>
      <c r="AB207" s="210"/>
      <c r="AC207" s="212">
        <f t="shared" si="25"/>
        <v>0</v>
      </c>
      <c r="AD207" s="210"/>
      <c r="AE207" s="210"/>
      <c r="AF207" s="210"/>
      <c r="AG207" s="212">
        <f t="shared" si="26"/>
        <v>0</v>
      </c>
      <c r="AH207" s="210">
        <f t="shared" si="22"/>
        <v>0</v>
      </c>
      <c r="AI207" s="148"/>
    </row>
    <row r="208" spans="1:35" ht="16.5" customHeight="1">
      <c r="A208" s="77"/>
      <c r="C208" s="8"/>
      <c r="F208" s="177"/>
      <c r="G208" s="257"/>
      <c r="H208" s="257"/>
      <c r="I208" s="257"/>
      <c r="J208" s="257"/>
      <c r="K208" s="257"/>
      <c r="L208" s="282"/>
      <c r="M208" s="257"/>
      <c r="N208" s="257"/>
      <c r="O208" s="257"/>
      <c r="R208" s="210"/>
      <c r="S208" s="210"/>
      <c r="T208" s="210"/>
      <c r="U208" s="212">
        <f t="shared" si="23"/>
        <v>0</v>
      </c>
      <c r="V208" s="210"/>
      <c r="W208" s="210"/>
      <c r="X208" s="210"/>
      <c r="Y208" s="212">
        <f t="shared" si="24"/>
        <v>0</v>
      </c>
      <c r="Z208" s="210"/>
      <c r="AA208" s="210"/>
      <c r="AB208" s="210"/>
      <c r="AC208" s="212">
        <f t="shared" si="25"/>
        <v>0</v>
      </c>
      <c r="AD208" s="210"/>
      <c r="AE208" s="210"/>
      <c r="AF208" s="210"/>
      <c r="AG208" s="212">
        <f t="shared" si="26"/>
        <v>0</v>
      </c>
      <c r="AH208" s="210">
        <f t="shared" si="22"/>
        <v>0</v>
      </c>
      <c r="AI208" s="148"/>
    </row>
    <row r="209" spans="1:35" s="225" customFormat="1" ht="16.5" customHeight="1">
      <c r="A209" s="223"/>
      <c r="B209" s="223"/>
      <c r="C209" s="224"/>
      <c r="F209" s="226">
        <f>F8+F11+F13+F83+F152+F155+F157+F162+F188+F191+F197+F202+F205</f>
        <v>35847781.80999848</v>
      </c>
      <c r="G209" s="258"/>
      <c r="H209" s="258"/>
      <c r="I209" s="258"/>
      <c r="J209" s="258"/>
      <c r="K209" s="258"/>
      <c r="L209" s="282"/>
      <c r="M209" s="258"/>
      <c r="N209" s="258">
        <f>SUM(N2:N208)</f>
        <v>35398478.84999848</v>
      </c>
      <c r="O209" s="258"/>
      <c r="R209" s="229">
        <f>R8+R11+R13+R83+R152+R155+R157+R162+R188+R191+R197+R202+R205</f>
        <v>2560844</v>
      </c>
      <c r="S209" s="229">
        <f>S8+S11+S13+S83+S152+S155+S157+S162+S188+S191+S197+S202+S205</f>
        <v>3026633</v>
      </c>
      <c r="T209" s="229">
        <f>T8+T11+T13+T83+T152+T155+T157+T162+T188+T191+T197+T202+T205</f>
        <v>3535468.1799999997</v>
      </c>
      <c r="U209" s="227">
        <f t="shared" si="23"/>
        <v>9122945.18</v>
      </c>
      <c r="V209" s="229">
        <f>V8+V11+V13+V83+V152+V155+V157+V162+V188+V191+V197+V202+V205</f>
        <v>3028793.72</v>
      </c>
      <c r="W209" s="229">
        <f>W8+W11+W13+W83+W152+W155+W157+W162+W188+W191+W197+W202+W205</f>
        <v>2880650.72</v>
      </c>
      <c r="X209" s="229">
        <f>X8+X11+X13+X83+X152+X155+X157+X162+X188+X191+X197+X202+X205</f>
        <v>2955806.7399999998</v>
      </c>
      <c r="Y209" s="227">
        <f t="shared" si="24"/>
        <v>8865251.18</v>
      </c>
      <c r="Z209" s="229">
        <f>Z8+Z11+Z13+Z83+Z152+Z155+Z157+Z162+Z188+Z191+Z197+Z202+Z205</f>
        <v>2819890.2600000002</v>
      </c>
      <c r="AA209" s="229">
        <f>AA8+AA11+AA13+AA83+AA152+AA155+AA157+AA162+AA188+AA191+AA197+AA202+AA205</f>
        <v>2812168.2600000002</v>
      </c>
      <c r="AB209" s="229">
        <f>AB8+AB11+AB13+AB83+AB152+AB155+AB157+AB162+AB188+AB191+AB197+AB202+AB205</f>
        <v>3233490.3</v>
      </c>
      <c r="AC209" s="227">
        <f t="shared" si="25"/>
        <v>8865548.82</v>
      </c>
      <c r="AD209" s="229">
        <f>AD8+AD11+AD13+AD83+AD152+AD155+AD157+AD162+AD188+AD191+AD197+AD202+AD205</f>
        <v>3003089.2</v>
      </c>
      <c r="AE209" s="229">
        <f>AE8+AE11+AE13+AE83+AE152+AE155+AE157+AE162+AE188+AE191+AE197+AE202+AE205</f>
        <v>2971529.2</v>
      </c>
      <c r="AF209" s="229">
        <f>AF8+AF11+AF13+AF83+AF152+AF155+AF157+AF162+AF188+AF191+AF197+AF202+AF205</f>
        <v>3012018.2299999995</v>
      </c>
      <c r="AG209" s="227">
        <f t="shared" si="26"/>
        <v>8986636.629999999</v>
      </c>
      <c r="AH209" s="227">
        <f t="shared" si="22"/>
        <v>35840381.81</v>
      </c>
      <c r="AI209" s="228"/>
    </row>
    <row r="210" spans="18:34" ht="16.5" customHeight="1">
      <c r="R210" s="210"/>
      <c r="S210" s="210"/>
      <c r="T210" s="210"/>
      <c r="U210" s="212">
        <f t="shared" si="23"/>
        <v>0</v>
      </c>
      <c r="V210" s="210"/>
      <c r="W210" s="210"/>
      <c r="X210" s="210"/>
      <c r="Y210" s="212">
        <f t="shared" si="24"/>
        <v>0</v>
      </c>
      <c r="Z210" s="210"/>
      <c r="AA210" s="210"/>
      <c r="AB210" s="210"/>
      <c r="AC210" s="212">
        <f t="shared" si="25"/>
        <v>0</v>
      </c>
      <c r="AD210" s="210"/>
      <c r="AE210" s="210"/>
      <c r="AF210" s="210"/>
      <c r="AG210" s="212">
        <f t="shared" si="26"/>
        <v>0</v>
      </c>
      <c r="AH210" s="210">
        <f t="shared" si="22"/>
        <v>0</v>
      </c>
    </row>
    <row r="211" spans="4:34" ht="16.5" customHeight="1">
      <c r="D211" s="178" t="s">
        <v>400</v>
      </c>
      <c r="J211" s="285" t="s">
        <v>780</v>
      </c>
      <c r="K211" s="285"/>
      <c r="O211" s="289" t="s">
        <v>785</v>
      </c>
      <c r="Q211" s="178" t="s">
        <v>440</v>
      </c>
      <c r="R211" s="210"/>
      <c r="S211" s="210"/>
      <c r="T211" s="210"/>
      <c r="U211" s="212">
        <f t="shared" si="23"/>
        <v>0</v>
      </c>
      <c r="V211" s="210"/>
      <c r="W211" s="210"/>
      <c r="X211" s="210"/>
      <c r="Y211" s="212">
        <f t="shared" si="24"/>
        <v>0</v>
      </c>
      <c r="Z211" s="210"/>
      <c r="AA211" s="210"/>
      <c r="AB211" s="210"/>
      <c r="AC211" s="212">
        <f t="shared" si="25"/>
        <v>0</v>
      </c>
      <c r="AD211" s="210"/>
      <c r="AE211" s="210"/>
      <c r="AF211" s="210"/>
      <c r="AG211" s="212">
        <f t="shared" si="26"/>
        <v>0</v>
      </c>
      <c r="AH211" s="210">
        <f t="shared" si="22"/>
        <v>0</v>
      </c>
    </row>
    <row r="212" spans="4:34" ht="16.5" customHeight="1">
      <c r="D212" s="9" t="s">
        <v>392</v>
      </c>
      <c r="F212" s="172">
        <v>1683358.35</v>
      </c>
      <c r="G212" s="257"/>
      <c r="H212" s="257"/>
      <c r="I212" s="257"/>
      <c r="J212" s="257"/>
      <c r="K212" s="257"/>
      <c r="L212" s="257"/>
      <c r="M212" s="257"/>
      <c r="N212" s="257"/>
      <c r="O212" s="257"/>
      <c r="Q212" s="165">
        <v>1650000</v>
      </c>
      <c r="R212" s="210"/>
      <c r="S212" s="210"/>
      <c r="T212" s="210"/>
      <c r="U212" s="212">
        <f t="shared" si="23"/>
        <v>0</v>
      </c>
      <c r="V212" s="210"/>
      <c r="W212" s="210"/>
      <c r="X212" s="210"/>
      <c r="Y212" s="212">
        <f t="shared" si="24"/>
        <v>0</v>
      </c>
      <c r="Z212" s="210"/>
      <c r="AA212" s="210"/>
      <c r="AB212" s="210"/>
      <c r="AC212" s="212">
        <f t="shared" si="25"/>
        <v>0</v>
      </c>
      <c r="AD212" s="210"/>
      <c r="AE212" s="210"/>
      <c r="AF212" s="210"/>
      <c r="AG212" s="212">
        <f t="shared" si="26"/>
        <v>0</v>
      </c>
      <c r="AH212" s="210">
        <f t="shared" si="22"/>
        <v>0</v>
      </c>
    </row>
    <row r="213" spans="1:34" ht="16.5" customHeight="1">
      <c r="A213" s="9"/>
      <c r="D213" s="9" t="s">
        <v>393</v>
      </c>
      <c r="F213" s="172">
        <v>369122.33</v>
      </c>
      <c r="G213" s="257"/>
      <c r="H213" s="257"/>
      <c r="I213" s="257"/>
      <c r="J213" s="257"/>
      <c r="K213" s="257"/>
      <c r="L213" s="257"/>
      <c r="M213" s="257"/>
      <c r="N213" s="257"/>
      <c r="O213" s="257"/>
      <c r="Q213" s="165">
        <v>360000</v>
      </c>
      <c r="R213" s="210"/>
      <c r="S213" s="210"/>
      <c r="T213" s="210"/>
      <c r="U213" s="212">
        <f t="shared" si="23"/>
        <v>0</v>
      </c>
      <c r="V213" s="210"/>
      <c r="W213" s="210"/>
      <c r="X213" s="210"/>
      <c r="Y213" s="212">
        <f t="shared" si="24"/>
        <v>0</v>
      </c>
      <c r="Z213" s="210"/>
      <c r="AA213" s="210"/>
      <c r="AB213" s="210"/>
      <c r="AC213" s="212">
        <f t="shared" si="25"/>
        <v>0</v>
      </c>
      <c r="AD213" s="210"/>
      <c r="AE213" s="210"/>
      <c r="AF213" s="210"/>
      <c r="AG213" s="212">
        <f t="shared" si="26"/>
        <v>0</v>
      </c>
      <c r="AH213" s="210">
        <f t="shared" si="22"/>
        <v>0</v>
      </c>
    </row>
    <row r="214" spans="6:34" ht="16.5" customHeight="1">
      <c r="F214" s="172"/>
      <c r="G214" s="257"/>
      <c r="H214" s="257"/>
      <c r="I214" s="257"/>
      <c r="J214" s="257"/>
      <c r="K214" s="257"/>
      <c r="L214" s="257"/>
      <c r="M214" s="257"/>
      <c r="N214" s="257"/>
      <c r="O214" s="257"/>
      <c r="Q214" s="165"/>
      <c r="R214" s="210"/>
      <c r="S214" s="210"/>
      <c r="T214" s="210"/>
      <c r="U214" s="212">
        <f t="shared" si="23"/>
        <v>0</v>
      </c>
      <c r="V214" s="210"/>
      <c r="W214" s="210"/>
      <c r="X214" s="210"/>
      <c r="Y214" s="212">
        <f t="shared" si="24"/>
        <v>0</v>
      </c>
      <c r="Z214" s="210"/>
      <c r="AA214" s="210"/>
      <c r="AB214" s="210"/>
      <c r="AC214" s="212">
        <f t="shared" si="25"/>
        <v>0</v>
      </c>
      <c r="AD214" s="210"/>
      <c r="AE214" s="210"/>
      <c r="AF214" s="210"/>
      <c r="AG214" s="212">
        <f t="shared" si="26"/>
        <v>0</v>
      </c>
      <c r="AH214" s="210">
        <f t="shared" si="22"/>
        <v>0</v>
      </c>
    </row>
    <row r="215" spans="4:34" ht="16.5" customHeight="1">
      <c r="D215" s="9" t="s">
        <v>394</v>
      </c>
      <c r="F215" s="172">
        <v>321518.84</v>
      </c>
      <c r="G215" s="257"/>
      <c r="H215" s="257"/>
      <c r="I215" s="257"/>
      <c r="J215" s="257"/>
      <c r="K215" s="257"/>
      <c r="L215" s="257"/>
      <c r="M215" s="257"/>
      <c r="N215" s="257"/>
      <c r="O215" s="257"/>
      <c r="Q215" s="165">
        <v>260000</v>
      </c>
      <c r="R215" s="210"/>
      <c r="S215" s="210"/>
      <c r="T215" s="210"/>
      <c r="U215" s="212">
        <f t="shared" si="23"/>
        <v>0</v>
      </c>
      <c r="V215" s="210"/>
      <c r="W215" s="210"/>
      <c r="X215" s="210"/>
      <c r="Y215" s="212">
        <f t="shared" si="24"/>
        <v>0</v>
      </c>
      <c r="Z215" s="210"/>
      <c r="AA215" s="210"/>
      <c r="AB215" s="210"/>
      <c r="AC215" s="212">
        <f t="shared" si="25"/>
        <v>0</v>
      </c>
      <c r="AD215" s="210"/>
      <c r="AE215" s="210"/>
      <c r="AF215" s="210"/>
      <c r="AG215" s="212">
        <f t="shared" si="26"/>
        <v>0</v>
      </c>
      <c r="AH215" s="210">
        <f t="shared" si="22"/>
        <v>0</v>
      </c>
    </row>
    <row r="216" spans="4:34" ht="16.5" customHeight="1">
      <c r="D216" s="9" t="s">
        <v>393</v>
      </c>
      <c r="F216" s="172">
        <v>69288.67</v>
      </c>
      <c r="G216" s="257"/>
      <c r="H216" s="257"/>
      <c r="I216" s="257"/>
      <c r="J216" s="257"/>
      <c r="K216" s="257"/>
      <c r="L216" s="257"/>
      <c r="M216" s="257"/>
      <c r="N216" s="257"/>
      <c r="O216" s="257"/>
      <c r="Q216" s="165">
        <v>57000</v>
      </c>
      <c r="R216" s="210"/>
      <c r="S216" s="210"/>
      <c r="T216" s="210"/>
      <c r="U216" s="212">
        <f t="shared" si="23"/>
        <v>0</v>
      </c>
      <c r="V216" s="210"/>
      <c r="W216" s="210"/>
      <c r="X216" s="210"/>
      <c r="Y216" s="212">
        <f t="shared" si="24"/>
        <v>0</v>
      </c>
      <c r="Z216" s="210"/>
      <c r="AA216" s="210"/>
      <c r="AB216" s="210"/>
      <c r="AC216" s="212">
        <f t="shared" si="25"/>
        <v>0</v>
      </c>
      <c r="AD216" s="210"/>
      <c r="AE216" s="210"/>
      <c r="AF216" s="210"/>
      <c r="AG216" s="212">
        <f t="shared" si="26"/>
        <v>0</v>
      </c>
      <c r="AH216" s="210">
        <f t="shared" si="22"/>
        <v>0</v>
      </c>
    </row>
    <row r="217" spans="18:34" ht="16.5" customHeight="1">
      <c r="R217" s="210"/>
      <c r="S217" s="210"/>
      <c r="T217" s="210"/>
      <c r="U217" s="212">
        <f t="shared" si="23"/>
        <v>0</v>
      </c>
      <c r="V217" s="210"/>
      <c r="W217" s="210"/>
      <c r="X217" s="210"/>
      <c r="Y217" s="212">
        <f t="shared" si="24"/>
        <v>0</v>
      </c>
      <c r="Z217" s="210"/>
      <c r="AA217" s="210"/>
      <c r="AB217" s="210"/>
      <c r="AC217" s="212">
        <f t="shared" si="25"/>
        <v>0</v>
      </c>
      <c r="AD217" s="210"/>
      <c r="AE217" s="210"/>
      <c r="AF217" s="210"/>
      <c r="AG217" s="212">
        <f t="shared" si="26"/>
        <v>0</v>
      </c>
      <c r="AH217" s="210">
        <f t="shared" si="22"/>
        <v>0</v>
      </c>
    </row>
    <row r="218" spans="6:34" ht="16.5" customHeight="1">
      <c r="F218" s="205">
        <f>SUM(F212:F217)</f>
        <v>2443288.19</v>
      </c>
      <c r="G218" s="260"/>
      <c r="H218" s="260"/>
      <c r="I218" s="260"/>
      <c r="J218" s="260"/>
      <c r="K218" s="260"/>
      <c r="L218" s="260"/>
      <c r="M218" s="260"/>
      <c r="N218" s="260"/>
      <c r="O218" s="260"/>
      <c r="P218" s="205"/>
      <c r="Q218" s="205">
        <f>SUM(Q212:Q217)</f>
        <v>2327000</v>
      </c>
      <c r="R218" s="210"/>
      <c r="S218" s="210"/>
      <c r="T218" s="210"/>
      <c r="U218" s="212">
        <f t="shared" si="23"/>
        <v>0</v>
      </c>
      <c r="V218" s="210"/>
      <c r="W218" s="210"/>
      <c r="X218" s="210"/>
      <c r="Y218" s="212">
        <f t="shared" si="24"/>
        <v>0</v>
      </c>
      <c r="Z218" s="210"/>
      <c r="AA218" s="210"/>
      <c r="AB218" s="210"/>
      <c r="AC218" s="212">
        <f t="shared" si="25"/>
        <v>0</v>
      </c>
      <c r="AD218" s="210"/>
      <c r="AE218" s="210"/>
      <c r="AF218" s="210"/>
      <c r="AG218" s="212">
        <f t="shared" si="26"/>
        <v>0</v>
      </c>
      <c r="AH218" s="210">
        <f t="shared" si="22"/>
        <v>0</v>
      </c>
    </row>
    <row r="219" spans="4:34" ht="16.5" customHeight="1">
      <c r="D219" s="9" t="s">
        <v>441</v>
      </c>
      <c r="F219" s="176">
        <v>29036498</v>
      </c>
      <c r="G219" s="261"/>
      <c r="H219" s="261"/>
      <c r="I219" s="261"/>
      <c r="J219" s="261"/>
      <c r="K219" s="261"/>
      <c r="L219" s="261"/>
      <c r="M219" s="261"/>
      <c r="N219" s="261"/>
      <c r="O219" s="261"/>
      <c r="R219" s="210"/>
      <c r="S219" s="210"/>
      <c r="T219" s="210"/>
      <c r="U219" s="212">
        <f t="shared" si="23"/>
        <v>0</v>
      </c>
      <c r="V219" s="210"/>
      <c r="W219" s="210"/>
      <c r="X219" s="210"/>
      <c r="Y219" s="212">
        <f t="shared" si="24"/>
        <v>0</v>
      </c>
      <c r="Z219" s="210"/>
      <c r="AA219" s="210"/>
      <c r="AB219" s="210"/>
      <c r="AC219" s="212">
        <f t="shared" si="25"/>
        <v>0</v>
      </c>
      <c r="AD219" s="210"/>
      <c r="AE219" s="210"/>
      <c r="AF219" s="210"/>
      <c r="AG219" s="212">
        <f t="shared" si="26"/>
        <v>0</v>
      </c>
      <c r="AH219" s="210">
        <f t="shared" si="22"/>
        <v>0</v>
      </c>
    </row>
    <row r="220" spans="4:34" ht="16.5" customHeight="1">
      <c r="D220" s="9" t="s">
        <v>442</v>
      </c>
      <c r="F220" s="176">
        <v>2802317.06</v>
      </c>
      <c r="G220" s="261"/>
      <c r="H220" s="261"/>
      <c r="I220" s="261"/>
      <c r="J220" s="261"/>
      <c r="K220" s="261"/>
      <c r="L220" s="261"/>
      <c r="M220" s="261"/>
      <c r="N220" s="261"/>
      <c r="O220" s="261"/>
      <c r="Q220" s="206"/>
      <c r="R220" s="210"/>
      <c r="S220" s="210"/>
      <c r="T220" s="210"/>
      <c r="U220" s="212">
        <f t="shared" si="23"/>
        <v>0</v>
      </c>
      <c r="V220" s="210"/>
      <c r="W220" s="210"/>
      <c r="X220" s="210"/>
      <c r="Y220" s="212">
        <f t="shared" si="24"/>
        <v>0</v>
      </c>
      <c r="Z220" s="210"/>
      <c r="AA220" s="210"/>
      <c r="AB220" s="210"/>
      <c r="AC220" s="212">
        <f t="shared" si="25"/>
        <v>0</v>
      </c>
      <c r="AD220" s="210"/>
      <c r="AE220" s="210"/>
      <c r="AF220" s="210"/>
      <c r="AG220" s="212">
        <f t="shared" si="26"/>
        <v>0</v>
      </c>
      <c r="AH220" s="210">
        <f t="shared" si="22"/>
        <v>0</v>
      </c>
    </row>
    <row r="221" spans="4:34" ht="16.5" customHeight="1">
      <c r="D221" s="208" t="s">
        <v>443</v>
      </c>
      <c r="F221" s="176">
        <f>F220*12</f>
        <v>33627804.72</v>
      </c>
      <c r="G221" s="261"/>
      <c r="H221" s="261"/>
      <c r="I221" s="261"/>
      <c r="J221" s="261"/>
      <c r="K221" s="261"/>
      <c r="L221" s="261"/>
      <c r="M221" s="261"/>
      <c r="N221" s="261"/>
      <c r="O221" s="261"/>
      <c r="Q221" s="207">
        <f>F221+22195.28</f>
        <v>33650000</v>
      </c>
      <c r="R221" s="210"/>
      <c r="S221" s="210"/>
      <c r="T221" s="210"/>
      <c r="U221" s="212">
        <f t="shared" si="23"/>
        <v>0</v>
      </c>
      <c r="V221" s="210"/>
      <c r="W221" s="210"/>
      <c r="X221" s="210"/>
      <c r="Y221" s="212">
        <f t="shared" si="24"/>
        <v>0</v>
      </c>
      <c r="Z221" s="210"/>
      <c r="AA221" s="210"/>
      <c r="AB221" s="210"/>
      <c r="AC221" s="212">
        <f t="shared" si="25"/>
        <v>0</v>
      </c>
      <c r="AD221" s="210"/>
      <c r="AE221" s="210"/>
      <c r="AF221" s="210"/>
      <c r="AG221" s="212">
        <f t="shared" si="26"/>
        <v>0</v>
      </c>
      <c r="AH221" s="210">
        <f t="shared" si="22"/>
        <v>0</v>
      </c>
    </row>
    <row r="222" spans="18:34" ht="16.5" customHeight="1">
      <c r="R222" s="210"/>
      <c r="S222" s="210"/>
      <c r="T222" s="210"/>
      <c r="U222" s="212">
        <f t="shared" si="23"/>
        <v>0</v>
      </c>
      <c r="V222" s="210"/>
      <c r="W222" s="210"/>
      <c r="X222" s="210"/>
      <c r="Y222" s="212">
        <f t="shared" si="24"/>
        <v>0</v>
      </c>
      <c r="Z222" s="210"/>
      <c r="AA222" s="210"/>
      <c r="AB222" s="210"/>
      <c r="AC222" s="212">
        <f t="shared" si="25"/>
        <v>0</v>
      </c>
      <c r="AD222" s="210"/>
      <c r="AE222" s="210"/>
      <c r="AF222" s="210"/>
      <c r="AG222" s="212">
        <f t="shared" si="26"/>
        <v>0</v>
      </c>
      <c r="AH222" s="210">
        <f t="shared" si="22"/>
        <v>0</v>
      </c>
    </row>
    <row r="223" spans="4:34" ht="16.5" customHeight="1">
      <c r="D223" s="9" t="s">
        <v>474</v>
      </c>
      <c r="Q223" s="205">
        <f>15223.17+5664.64</f>
        <v>20887.81</v>
      </c>
      <c r="R223" s="210"/>
      <c r="S223" s="210"/>
      <c r="T223" s="210"/>
      <c r="U223" s="212">
        <f t="shared" si="23"/>
        <v>0</v>
      </c>
      <c r="V223" s="210"/>
      <c r="W223" s="210"/>
      <c r="X223" s="210"/>
      <c r="Y223" s="212">
        <f t="shared" si="24"/>
        <v>0</v>
      </c>
      <c r="Z223" s="210"/>
      <c r="AA223" s="210"/>
      <c r="AB223" s="210"/>
      <c r="AC223" s="212">
        <f t="shared" si="25"/>
        <v>0</v>
      </c>
      <c r="AD223" s="210"/>
      <c r="AE223" s="210"/>
      <c r="AF223" s="210"/>
      <c r="AG223" s="212">
        <f t="shared" si="26"/>
        <v>0</v>
      </c>
      <c r="AH223" s="210">
        <f t="shared" si="22"/>
        <v>0</v>
      </c>
    </row>
    <row r="225" spans="4:17" ht="16.5" customHeight="1">
      <c r="D225" s="9" t="s">
        <v>475</v>
      </c>
      <c r="Q225" s="231">
        <f>SUM(Q221:Q224)</f>
        <v>33670887.81</v>
      </c>
    </row>
    <row r="229" ht="16.5" customHeight="1" thickBot="1"/>
    <row r="230" spans="1:2" ht="16.5" customHeight="1" thickBot="1">
      <c r="A230" s="9" t="s">
        <v>21</v>
      </c>
      <c r="B230" s="234"/>
    </row>
    <row r="238" ht="16.5" customHeight="1">
      <c r="A238" s="144" t="s">
        <v>480</v>
      </c>
    </row>
    <row r="239" ht="16.5" customHeight="1">
      <c r="A239" s="144" t="s">
        <v>481</v>
      </c>
    </row>
    <row r="240" ht="16.5" customHeight="1">
      <c r="A240" s="144" t="s">
        <v>482</v>
      </c>
    </row>
    <row r="242" ht="16.5" customHeight="1">
      <c r="A242" s="144" t="s">
        <v>483</v>
      </c>
    </row>
    <row r="245" spans="1:3" ht="16.5" customHeight="1">
      <c r="A245" s="9" t="s">
        <v>484</v>
      </c>
      <c r="C245" s="9" t="s">
        <v>378</v>
      </c>
    </row>
  </sheetData>
  <sheetProtection/>
  <mergeCells count="51">
    <mergeCell ref="L153:L154"/>
    <mergeCell ref="A158:A161"/>
    <mergeCell ref="C158:C161"/>
    <mergeCell ref="B158:B161"/>
    <mergeCell ref="A168:A173"/>
    <mergeCell ref="C168:C173"/>
    <mergeCell ref="A163:A167"/>
    <mergeCell ref="C163:C167"/>
    <mergeCell ref="B2:B7"/>
    <mergeCell ref="B9:B10"/>
    <mergeCell ref="D187:E187"/>
    <mergeCell ref="C16:C17"/>
    <mergeCell ref="A16:A17"/>
    <mergeCell ref="C21:C26"/>
    <mergeCell ref="A35:A37"/>
    <mergeCell ref="C35:C37"/>
    <mergeCell ref="A38:A39"/>
    <mergeCell ref="C38:C39"/>
    <mergeCell ref="F21:F26"/>
    <mergeCell ref="A21:A26"/>
    <mergeCell ref="A29:A32"/>
    <mergeCell ref="C29:C32"/>
    <mergeCell ref="A33:A34"/>
    <mergeCell ref="C33:C34"/>
    <mergeCell ref="A41:A45"/>
    <mergeCell ref="C41:C45"/>
    <mergeCell ref="A46:A47"/>
    <mergeCell ref="C46:C47"/>
    <mergeCell ref="A48:A51"/>
    <mergeCell ref="C48:C51"/>
    <mergeCell ref="A54:A56"/>
    <mergeCell ref="C54:C56"/>
    <mergeCell ref="A57:A58"/>
    <mergeCell ref="C57:C58"/>
    <mergeCell ref="A72:A74"/>
    <mergeCell ref="C72:C74"/>
    <mergeCell ref="A77:A79"/>
    <mergeCell ref="C77:C79"/>
    <mergeCell ref="A84:A90"/>
    <mergeCell ref="C84:C90"/>
    <mergeCell ref="A91:A95"/>
    <mergeCell ref="C91:C95"/>
    <mergeCell ref="A122:A135"/>
    <mergeCell ref="C122:C135"/>
    <mergeCell ref="A137:A150"/>
    <mergeCell ref="C137:C150"/>
    <mergeCell ref="L122:L124"/>
    <mergeCell ref="A96:A105"/>
    <mergeCell ref="C96:C105"/>
    <mergeCell ref="C106:C120"/>
    <mergeCell ref="A106:A120"/>
  </mergeCells>
  <dataValidations count="3">
    <dataValidation allowBlank="1" showInputMessage="1" showErrorMessage="1" promptTitle="обов'язкове" prompt="обов'язкове" sqref="C1 C136 C246:C65536 C189:C195 C197:C244"/>
    <dataValidation type="decimal" allowBlank="1" showInputMessage="1" showErrorMessage="1" errorTitle="Очікувана вартість" error="Очікувана вартість предмета закупівлі - тілько число" sqref="C156:C157 C175:C176 C168">
      <formula1>0</formula1>
      <formula2>1E+32</formula2>
    </dataValidation>
    <dataValidation type="textLength" allowBlank="1" showInputMessage="1" showErrorMessage="1" promptTitle="обов'язкове" prompt="обов'язкове" sqref="A1:B1 B197:B223 A178 A184:A185 B136 A197:A212 A189:A191 A214:A223 A246:A65536 A71 C187:C188 A224:B229 A63 A65:A69 B231:B65536 A231:A244 A193:A195 B192:B195 C12:C16">
      <formula1>1</formula1>
      <formula2>200000</formula2>
    </dataValidation>
  </dataValidations>
  <hyperlinks>
    <hyperlink ref="A136" r:id="rId1" display="https://e-tender.biz/tender/produkti-harchuvannya/UA-2020-01-15-001695-c-speczialni-produkty-xarchuvannya-zbahacheni-pozhyvnymy-rechovynamy-za-kodom-cpv-za"/>
    <hyperlink ref="J2" r:id="rId2" display="https://e-tender.biz/tender/naftoprodukti-ta-elektroenergiya/UA-2020-01-03-000578-c-elektrychna-enerhiya-elektrychna-enerhiya-ta-suputni-posluhy"/>
    <hyperlink ref="J22" r:id="rId3" display="https://e-tender.biz/tender/drukovana-produkciya/UA-2020-04-29-000572-a-blanky-recepturni-blanky-f-3"/>
    <hyperlink ref="J23" r:id="rId4" display="https://e-tender.biz/tender/drukovana-produkciya/UA-2020-05-22-002858-b-blanky-recepturni-blanky-f-3"/>
  </hyperlinks>
  <printOptions/>
  <pageMargins left="0.1968503937007874" right="0.1968503937007874" top="0.1968503937007874" bottom="0.1968503937007874" header="0.1968503937007874" footer="0.1968503937007874"/>
  <pageSetup fitToHeight="1" fitToWidth="1" horizontalDpi="600" verticalDpi="600" orientation="landscape" paperSize="9" scale="22"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2021-03-30T06:45:41Z</cp:lastPrinted>
  <dcterms:created xsi:type="dcterms:W3CDTF">2018-04-27T10:18:26Z</dcterms:created>
  <dcterms:modified xsi:type="dcterms:W3CDTF">2021-04-12T07:01:59Z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