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08EFE37-45D8-419E-86B3-4D805BDBFE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рку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72" i="1" l="1"/>
  <c r="A571" i="1"/>
  <c r="A570" i="1"/>
  <c r="A569" i="1"/>
  <c r="A568" i="1"/>
  <c r="A567" i="1"/>
  <c r="A566" i="1"/>
  <c r="A565" i="1"/>
  <c r="A564" i="1"/>
  <c r="A563" i="1"/>
  <c r="A560" i="1"/>
  <c r="A559" i="1"/>
  <c r="A558" i="1"/>
  <c r="A555" i="1"/>
  <c r="A553" i="1"/>
  <c r="A551" i="1"/>
  <c r="A550" i="1"/>
  <c r="A549" i="1"/>
  <c r="A548" i="1"/>
  <c r="A547" i="1"/>
  <c r="A546" i="1"/>
  <c r="A545" i="1"/>
  <c r="A544" i="1"/>
  <c r="A542" i="1"/>
  <c r="A541" i="1"/>
  <c r="A540" i="1"/>
  <c r="A539" i="1"/>
  <c r="A538" i="1"/>
  <c r="A536" i="1"/>
  <c r="A535" i="1"/>
  <c r="A534" i="1"/>
  <c r="A532" i="1"/>
  <c r="A531" i="1"/>
  <c r="A530" i="1"/>
  <c r="A529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9" i="1"/>
  <c r="A180" i="1"/>
  <c r="A183" i="1"/>
  <c r="A1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7" i="1"/>
  <c r="A339" i="1"/>
  <c r="A340" i="1"/>
  <c r="A341" i="1"/>
  <c r="A342" i="1"/>
  <c r="A343" i="1"/>
  <c r="A344" i="1"/>
  <c r="A348" i="1"/>
  <c r="A349" i="1"/>
  <c r="A350" i="1"/>
  <c r="A351" i="1"/>
  <c r="A352" i="1"/>
  <c r="A353" i="1"/>
  <c r="A354" i="1"/>
  <c r="A355" i="1"/>
  <c r="A356" i="1"/>
  <c r="A367" i="1"/>
  <c r="A368" i="1"/>
  <c r="A370" i="1"/>
  <c r="A371" i="1"/>
  <c r="A372" i="1"/>
  <c r="A373" i="1"/>
  <c r="A374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6" i="1"/>
  <c r="A439" i="1"/>
  <c r="A440" i="1"/>
  <c r="A441" i="1"/>
  <c r="A447" i="1"/>
  <c r="A448" i="1"/>
  <c r="A449" i="1"/>
  <c r="A450" i="1"/>
  <c r="A451" i="1"/>
  <c r="A457" i="1"/>
  <c r="A458" i="1"/>
  <c r="A459" i="1"/>
  <c r="A460" i="1"/>
  <c r="A461" i="1"/>
  <c r="A462" i="1"/>
  <c r="A463" i="1"/>
  <c r="A464" i="1"/>
  <c r="A465" i="1"/>
  <c r="A467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5" i="1"/>
  <c r="A496" i="1"/>
  <c r="A497" i="1"/>
  <c r="A498" i="1"/>
  <c r="A499" i="1"/>
  <c r="A500" i="1"/>
  <c r="A501" i="1"/>
  <c r="A505" i="1"/>
  <c r="A506" i="1"/>
  <c r="A507" i="1"/>
  <c r="A509" i="1"/>
  <c r="A512" i="1"/>
  <c r="A513" i="1"/>
  <c r="A514" i="1"/>
  <c r="A515" i="1"/>
  <c r="A516" i="1"/>
  <c r="A517" i="1"/>
  <c r="A518" i="1"/>
  <c r="A521" i="1"/>
  <c r="A522" i="1"/>
  <c r="A523" i="1"/>
  <c r="A524" i="1"/>
  <c r="A525" i="1"/>
  <c r="A526" i="1"/>
  <c r="A527" i="1"/>
  <c r="A528" i="1"/>
</calcChain>
</file>

<file path=xl/sharedStrings.xml><?xml version="1.0" encoding="utf-8"?>
<sst xmlns="http://schemas.openxmlformats.org/spreadsheetml/2006/main" count="4321" uniqueCount="1680">
  <si>
    <t>Класифікатори ДК</t>
  </si>
  <si>
    <t>Конкретна назва предмета закупівлі</t>
  </si>
  <si>
    <t>Класифікатори КЕКВ</t>
  </si>
  <si>
    <t xml:space="preserve">Дата договору </t>
  </si>
  <si>
    <t xml:space="preserve">Номер договору </t>
  </si>
  <si>
    <t xml:space="preserve">ЄДРПОУ замовника </t>
  </si>
  <si>
    <t>Назва замовника</t>
  </si>
  <si>
    <t>ЄДРПОУ постачальника</t>
  </si>
  <si>
    <t>Назва постачальника</t>
  </si>
  <si>
    <t>Предмет закупівлі</t>
  </si>
  <si>
    <t>Сума укладеного договору</t>
  </si>
  <si>
    <t>90510000-5 Утилізація/видалення сміття та поводження зі сміттям</t>
  </si>
  <si>
    <t>72250000-2 Послуги, пов’язані із системами та підтримкою</t>
  </si>
  <si>
    <t>72260000-5 Послуги, пов’язані з програмним забезпеченням</t>
  </si>
  <si>
    <t>48610000-7 Системи баз даних</t>
  </si>
  <si>
    <t>66510000-8 Страхові послуги</t>
  </si>
  <si>
    <t>72410000-7 Послуги провайдерів</t>
  </si>
  <si>
    <t>65110000-7 Розподіл води</t>
  </si>
  <si>
    <t>90430000-0 Послуги з відведення стічних вод</t>
  </si>
  <si>
    <t>65310000-9 Розподіл електричної енергії</t>
  </si>
  <si>
    <t>18140000-2 Аксесуари до робочого одягу</t>
  </si>
  <si>
    <t>09310000-5 Електрична енергія</t>
  </si>
  <si>
    <t>72710000-0 Послуги у сфері локальних мереж</t>
  </si>
  <si>
    <t>65210000-8 Розподіл газу</t>
  </si>
  <si>
    <t>КПКВ програми</t>
  </si>
  <si>
    <t>75240000-0 Послуги із забезпечення громадської безпеки, охорони правопорядку та громадського порядку</t>
  </si>
  <si>
    <t>03361046</t>
  </si>
  <si>
    <t>Розподіл електричної енергії</t>
  </si>
  <si>
    <t>44110000-4 Конструкційні матеріали</t>
  </si>
  <si>
    <t>Електрична енергія</t>
  </si>
  <si>
    <t>79340000-9 Рекламні та маркетингові послуги</t>
  </si>
  <si>
    <t>71240000-2 Архітектурні, інженерні та планувальні послуги</t>
  </si>
  <si>
    <t>39520000-3 Готові текстильні вироби</t>
  </si>
  <si>
    <t>33760000-5 Туалетний папір, носові хустинки, рушники для рук і серветки</t>
  </si>
  <si>
    <t>19640000-4 Поліетиленові мішки та пакети для сміття</t>
  </si>
  <si>
    <t>22830000-7 Зошити</t>
  </si>
  <si>
    <t>34320000-6 Механічні запасні частини, крім двигунів і частин двигунів</t>
  </si>
  <si>
    <t>39830000-9 Продукція для чищення</t>
  </si>
  <si>
    <t>22850000-3 Швидкозшивачі та супутнє приладдя</t>
  </si>
  <si>
    <t>64210000-1 Послуги телефонного зв’язку та передачі даних</t>
  </si>
  <si>
    <t>30190000-7 Офісне устаткування та приладдя різне</t>
  </si>
  <si>
    <t>Послуги з виготовлення та розміщення інформаційної продукції</t>
  </si>
  <si>
    <t>Телекомунікаційні послуги</t>
  </si>
  <si>
    <t>Бензин А-95; Дизельне паливо</t>
  </si>
  <si>
    <t>Папір для друку</t>
  </si>
  <si>
    <t>45450000-6 Інші завершальні будівельні роботи</t>
  </si>
  <si>
    <t>09132000-3 Бензин;09134200-9 Дизельне паливо</t>
  </si>
  <si>
    <t>Послуги у сфері інформаційних технологій з віддаленим використанням потужностей серверного апаратно-програмного комплексу</t>
  </si>
  <si>
    <t>72310000-1 Послуги з обробки даних</t>
  </si>
  <si>
    <t>Присвоєний ID плану/закупівлі</t>
  </si>
  <si>
    <t>04054334</t>
  </si>
  <si>
    <t>Коломийська міська рада</t>
  </si>
  <si>
    <t>22450000-9 Друкована продукція з елементами захисту</t>
  </si>
  <si>
    <t>Бюлетені; код 22450000-9 – Друкована продукція з елементами захисту за ДК 021:2015 «Єдиний закупівельний словник»</t>
  </si>
  <si>
    <t>60140000-1 Нерегулярні пасажирські перевезення</t>
  </si>
  <si>
    <t>Надання послуг нерегулярних пасажирських перевезень</t>
  </si>
  <si>
    <t>34350000-5 Шини для транспортних засобів великої та малої тоннажності</t>
  </si>
  <si>
    <t xml:space="preserve">Швидкозшивачі та супутнє приладдя; код 22850000-3 Швидкозшивачі та супутнє приладдя за ДК 021:2015 «Єдиний закупівельний словник» </t>
  </si>
  <si>
    <t>Послуги з виготовлення та розміщення інформаційної продукції; код 79340000-9 - Рекламні та маркетингові послуги за ДК 021:2015 «Єдиний закупівельний словник»</t>
  </si>
  <si>
    <t>14210000-6 Гравій, пісок, щебінь і наповнювачі</t>
  </si>
  <si>
    <t>Телекомунікаційні послуги; код - 64210000-1 Послуги телефонного зв’язку та передачі даних за ДК 021:2015 «Єдиний закупівельний словник»</t>
  </si>
  <si>
    <t>79710000-4 Охоронні послуги</t>
  </si>
  <si>
    <t>42566969</t>
  </si>
  <si>
    <t>ФІЛІЯ ПРИВАТНОГО АКЦІОНЕРНОГО ТОВАРИСТВА "ПРИКАРПАТТЯОБЛЕНЕРГО" "КОЛОМИЙСЬКА"</t>
  </si>
  <si>
    <t>42129720</t>
  </si>
  <si>
    <t>42566906</t>
  </si>
  <si>
    <t>ФІЛІЯ ПРИВАТНОГО АКЦІОНЕРНОГО ТОВАРИСТВА "ПРИКАРПАТТЯОБЛЕНЕРГО" "ПІВДЕННА"</t>
  </si>
  <si>
    <t>2440503412</t>
  </si>
  <si>
    <t>БАНДУРКА ВАСИЛЬ ІВАНОВИЧ</t>
  </si>
  <si>
    <t>2461019017</t>
  </si>
  <si>
    <t>ПАЛІЙЧУК ОЛЕГ ІВАНОВИЧ</t>
  </si>
  <si>
    <t>24175269</t>
  </si>
  <si>
    <t>ПРИВАТНЕ АКЦІОНЕРНЕ ТОВАРИСТВО "УКРАЇНСЬКА СТРАХОВА КОМПАНІЯ "КНЯЖА ВІЄННА ІНШУРАНС ГРУП"</t>
  </si>
  <si>
    <t>02360599</t>
  </si>
  <si>
    <t>ГОЛОВНЕ УПРАВЛІННЯ СТАТИСТИКИ В ІВАНО-ФРАНКІВСЬКІЙ ОБЛАСТІ</t>
  </si>
  <si>
    <t>13655234</t>
  </si>
  <si>
    <t>КОМУНАЛЬНЕ ПІДПРИЄМСТВО "ПОЛІГОН ЕКОЛОГІЯ"</t>
  </si>
  <si>
    <t>25551379</t>
  </si>
  <si>
    <t>ТОВАРИСТВО З ОБМЕЖЕНОЮ ВІДПОВІДАЛЬНІСТЮ "РОМУС-ПОЛІГРАФ"</t>
  </si>
  <si>
    <t>40108892</t>
  </si>
  <si>
    <t>УПРАВЛІННЯ ПОЛІЦІЇ ОХОРОНИ В ІВАНО-ФРАНКІВСЬКІЙ ОБЛАСТІ</t>
  </si>
  <si>
    <t>3227406316</t>
  </si>
  <si>
    <t>БАБИНЮК БОГДАН ЯРОСЛАВОВИЧ</t>
  </si>
  <si>
    <t>2243023404</t>
  </si>
  <si>
    <t>КІНДРАЦЬКА ГАЛИНА ВАСИЛІВНА</t>
  </si>
  <si>
    <t>34378300</t>
  </si>
  <si>
    <t>ПРИВАТНЕ ПІДПРИЄМСТВО "НІКОЛО - УКРАЇНА"</t>
  </si>
  <si>
    <t>25073559</t>
  </si>
  <si>
    <t>ПРИВАТНЕ ПІДПРИЄМСТВО "ТЕЛЕРАДІОКОМПАНІЯ "НТК"</t>
  </si>
  <si>
    <t>21560766</t>
  </si>
  <si>
    <t>АКЦІОНЕРНЕ ТОВАРИСТВО "УКРТЕЛЕКОМ"</t>
  </si>
  <si>
    <t>2806815091</t>
  </si>
  <si>
    <t>КОПИЛЬЦІВ ВАСИЛЬ ДМИТРОВИЧ</t>
  </si>
  <si>
    <t>2917018638</t>
  </si>
  <si>
    <t>КОПИЛЬЦІВ МИКОЛА МИКОЛАЙОВИЧ</t>
  </si>
  <si>
    <t>40956872</t>
  </si>
  <si>
    <t>ТОВ "ІНВЕСТ ЕНЕРГО ТРЕЙДІНГ"</t>
  </si>
  <si>
    <t>3027708714</t>
  </si>
  <si>
    <t>МЕНЗАТЮК ВАСИЛЬ ІВАНОВИЧ</t>
  </si>
  <si>
    <t>34517875</t>
  </si>
  <si>
    <t>ПРИВАТНЕ ПІДПРИЄМСТВО "МАСТАК-СЕРВІС"</t>
  </si>
  <si>
    <t>04792067</t>
  </si>
  <si>
    <t>48760000-3 Пакети програмного забезпечення для захисту від вірусів</t>
  </si>
  <si>
    <t>Послуги з виготовлення інформаційної продукції</t>
  </si>
  <si>
    <t>Здійснення технічного нагляду за виконанням поточного ремонту в рамках предмету закупівлі: «Поточний ремонт огорожі складу РАО військової частини А4267»</t>
  </si>
  <si>
    <t>Поточний ремонт огорожі складу РАО військової частини А4267;</t>
  </si>
  <si>
    <t>Виготовлення проектно-кошторисної документації по об'єкту: «Поточний ремонт огорожі складу РАО військової частини А4267»</t>
  </si>
  <si>
    <t>Послуга страхування легкового автомобіля АТ9887НС; Послуга страхування легкового автомобіля АТ0033АР</t>
  </si>
  <si>
    <t>Бетон товарний М-300 Р3 з доставкою</t>
  </si>
  <si>
    <t>Щебінь фр. 20х40 мм з доставкою</t>
  </si>
  <si>
    <t>Здійснення технічного нагляду за виконанням поточного ремонту в рамках предмету закупівлі:  «Поточний ремонт системи опалення в приміщенні ангар-лабораторії №2  військової частини А0742»</t>
  </si>
  <si>
    <t>Фундаментний блок ФСБ 24-4-6</t>
  </si>
  <si>
    <t>Поточний ремонт системи опалення в приміщенні ангар-лабораторії №2  військової частини А0742</t>
  </si>
  <si>
    <t>Виготовлення проектно-кошторисної документації по об’єкту: Поточний ремонт системи опалення в приміщенні ангар-лабораторії №2  військової частини А0742</t>
  </si>
  <si>
    <t>Послуги з централізованого водовідведення</t>
  </si>
  <si>
    <t>Послуги з централізованого водопостачання;</t>
  </si>
  <si>
    <t>Розподіл електроенергії активної, послуги із забезпечення перетікань реактивної електричної енергії</t>
  </si>
  <si>
    <t>Послуги з надання  доступу до вузлів інтегрованої інформаційно-телекомунікаційної автоматизованої системи відеоспостереження та відеоаналітики міста Коломиї за допомогою VPN мережі на базі всесвітньої мережі Інтернет без обмежень обсягів спожитого трафіку</t>
  </si>
  <si>
    <t>Авторський супровід програмного забезпечення «Дебет Плюс V12"</t>
  </si>
  <si>
    <t>Папка-реєстратор Buromax Jombax Lux A5 70 мм Чорна (BM.3013-01) ; Папка-реєстратор Buromax Elite A4 50 мм Чорна (BM.3002-01c) ; Папка-реєстратор Romus Lux archive А4 70 мм Чорна (R883611); Папка на зав'язці картонна (44090)</t>
  </si>
  <si>
    <t>Зошит Buromax А4 у твердій обкладинці 96 аркушів у клітинку (BM.2400); Зошит Buromax A4 у твердій обкладинці 192 аркуша у клітинку Асорті (BM.2404)</t>
  </si>
  <si>
    <t>Надання прав на використання програмної продукції Системи «YOUCONTROL»</t>
  </si>
  <si>
    <t>Акумуляторна батарея 140Ah/800A (513x189x223/+L/B13)</t>
  </si>
  <si>
    <t>Охорона майна на об’єкті: технічне обслуговування сигналізації, що встановлена в приміщенні управління надання адміністративних послуг за адресою м. Коломия, пл. Привокзальна, 2а/1</t>
  </si>
  <si>
    <t>Охорона майна на об’єкті: приміщення міського архіву за адресою м. Коломия, вул. Драгоманова, 3в</t>
  </si>
  <si>
    <t>Охорона  майна на  об’єкті:   Відділ  ведення  Державного   реєстру  виборців   за  адресою м. Коломия, пл. Привокзальна, 2</t>
  </si>
  <si>
    <t>Охорона майна на об’єкті: технічне обслуговування сигналізації, що встановлена у адміністративному приміщенні за адресою м. Коломия, проспект Грушевського 1</t>
  </si>
  <si>
    <t>Охорона майна на об’єкті: Управління надання адміністративних послуг м. Коломия, вул. Привокзальна, 2а/1</t>
  </si>
  <si>
    <t>Послуги з вивезення сміття</t>
  </si>
  <si>
    <t>Шина Maxxis M8060 Trepador Competition Bias 35/12.5  R16  120K; Шина Росава КИ-113  12.00  R20  135/132К   PR8</t>
  </si>
  <si>
    <t>Бюлетені</t>
  </si>
  <si>
    <t>Надання доступу до програмного забезпечення для інспектора з паркування («Мобільний додаток інспектора»), яке забезпечує наступні можливості :  - Вибір типу порушення; - Можливість фотофіксації реєстраційних номерних знаків транспортного засобу та здійснення оглядових фотознімків;  - Визначення  дати, часу порушення, типу порушення, адреси місця порушення, просторових координат технічного засобу фотофіксації порушення; - Можливість здійснення оглядових фотознімків для тимчасового затримання транспортного засобу; - Автоматичного формування пакету даних (Доказової бази) про фотофіксацію порушення у вигляді зображень (фото реєстраційних номерних знаків транспортного засобу та оглядові фото транспортного засобу), дати, часу, адреси та просторових координат місця фіксації; - Групова фіксація однотипних порушень правил зупинки, стоянки, паркування; - Фіксація факту, що порушення було усунуто;  - Формування повідомлення про притягнення до адміністративної відповідальності за порушення правил зупинки, стоянки, паркування; - Відправлення запиту до портативного принтеру для друку інформаційного повідомлення; - Можливість перегляду зафіксованих порушень; - Можливість відтермінування зафіксованих порушень;  - Можливість здійснення запитів до наявної системи оплати послуг паркування для отримання статусу сплати/несплати за послуги з користування майданчиками для платного паркування в рамках АСКОП; - Можливість оновлення програмного забезпечення через існуючі канали зв’язку.   Серверна частина компоненту забезпечує наступні можливості (не обмежуючись): - Розпізнавання реєстраційних номерних знаків транспортного засобу України та країн, на номерних знаках транспортних засобів яких розміщені латинські символи, з можливістю додавання інших держав емітентів реєстраційних номерних знаків; - Отримання пакетів даних про фотофіксацію порушень від клієнтської складової компоненту; - Збереження, обробка та облік усіх пакетів даних про фотофіксацію порушень (Доказових баз) терміном на 1 рік;  - Передачу пакета даних про фотофіксацію порушень для подальшого оформлення матеріалів по адміністративному правопорушенню для можливості подальшого винесення відповідної постанови.; Надання послуги з організації роботи веб-сайту інспекції з паркування та його супровід</t>
  </si>
  <si>
    <t>Надання доступу до «Програмного забезпечення для організації та контролю паркування транспортних засобів «CarP» Адміністративна частина,  яка включає такі компоненти: - компонент «База даних»;  компонент  «Звітність» (Гнучка система налаштувань за заданими параметрами); - компонент «Сплата штрафів»;  - компонент «Кабінет водія»;  - компонент «Пакет даних про фотофіксацію порушення» (Доказова база);  - компонент «Облік транзакцій»;  - компонент «Розпізнавання номерних знаків» - компонент «Автоматизована система контролю оплати вартості послуг з паркування (АСКОП)».</t>
  </si>
  <si>
    <t>Рідина для вікон «Містер мускул» (1л); Рідина для підлоги «Галус» (1,2л); Рідина для миття посуду Фейрі (1л); Засіб для чищення меблів «Пронто»; Рідке мило «Екстра Алоє» (5л); Засіб для чищення зливних труб Titan ; Рідина для унітазу «Доместос» (1л)</t>
  </si>
  <si>
    <t>Кульки для сміття на 20 л; Кульки для сміття на 35 л; Кульки для сміття на 160 л</t>
  </si>
  <si>
    <t>Ганчірки волого – поглинаючі «Фрекен Бок» ; Ганчірки універсальні «Фрекен Бок» ; Ганчірки для підлоги «Чисто» ; Губки кухонні «Бонус»</t>
  </si>
  <si>
    <t>Рукавиці "Фрекенбок"</t>
  </si>
  <si>
    <t>Туалетний папір "Кохавинка"; Паперові рушники  "Софіон"; Туалетний папір "Кохавинка" (великан)</t>
  </si>
  <si>
    <t>Розподіл природного газу (потужність)</t>
  </si>
  <si>
    <t>Послуги доступу до мережі інтернет</t>
  </si>
  <si>
    <t>Встановлення ПП'ESET PROTECT Entry з локальним управлінням' (В5). На 3 роки. Пільгова. Для захисту 5 об'єктів</t>
  </si>
  <si>
    <t>Послуги з веб-хостингу</t>
  </si>
  <si>
    <t>Телекомунікаційні послуги доступу до мережі Інтернет</t>
  </si>
  <si>
    <t>3487007980</t>
  </si>
  <si>
    <t>00726671</t>
  </si>
  <si>
    <t>38335810</t>
  </si>
  <si>
    <t>32148690</t>
  </si>
  <si>
    <t>2702921273</t>
  </si>
  <si>
    <t>39404434</t>
  </si>
  <si>
    <t>3494914813</t>
  </si>
  <si>
    <t>35889312</t>
  </si>
  <si>
    <t>32874942</t>
  </si>
  <si>
    <t>3024917690</t>
  </si>
  <si>
    <t>24831823</t>
  </si>
  <si>
    <t>2824303717</t>
  </si>
  <si>
    <t>43160066</t>
  </si>
  <si>
    <t>3201814959</t>
  </si>
  <si>
    <t>38685778</t>
  </si>
  <si>
    <t>ФОП Городчук Валерія Тарасівна</t>
  </si>
  <si>
    <t>Комунальне підприємство "Капітальне будівництво" Івано-Франківської районної ради</t>
  </si>
  <si>
    <t>ТОВАРИСТВО З ОБМЕЖЕНОЮ ВІДПОВІДАЛЬНІСТЮ "КОЛОМИЙСЬКИЙ БЕТОН"</t>
  </si>
  <si>
    <t>ТОВАРИСТВО З ОБМЕЖЕНОЮ ВІДПОВІДАЛЬНІСТЮ "КАРПАТИ БУДІНВЕСТ"</t>
  </si>
  <si>
    <t>КОМУНАЛЬНЕ ПІДПРИЄМСТВО "КОЛОМИЯВОДОКАНАЛ"</t>
  </si>
  <si>
    <t>КЛИМЕНКО ІГОР МИКОЛАЙОВИЧ</t>
  </si>
  <si>
    <t>ТОВАРИСТВО З ОБМЕЖЕНОЮ ВІДПОВІДАЛЬНІСТЮ "Ю-КОНТРОЛ"</t>
  </si>
  <si>
    <t>ПАСЯКА РОМАН ВІТАЛІЙОВИЧ</t>
  </si>
  <si>
    <t>ТОВАРИСТВО З ОБМЕЖЕНОЮ ВІДПОВІДАЛЬНІСТЮ "АВЕ ІВАНО-ФРАНКІВСЬК"</t>
  </si>
  <si>
    <t>ТОВАРИСТВО З ОБМЕЖЕНОЮ ВІДПОВІДАЛЬНІСТЮ "ДІСАЙД ЛТД"</t>
  </si>
  <si>
    <t>АКЦІОНЕРНЕ ТОВАРИСТВО "ОПЕРАТОР ГАЗОРОЗПОДІЛЬНОЇ СИСТЕМИ "ІВАНО-ФРАНКІВСЬКГАЗ"</t>
  </si>
  <si>
    <t>ГАРГАТ ІГОР ВАСИЛЬОВИЧ</t>
  </si>
  <si>
    <t>КОМУНАЛЬНЕ ПІДПРИЄМСТВО "МІСЬКОФОРМЛЕННЯ" КРЕМЕНЧУЦЬКОЇ МІСЬКОЇ РАДИ КРЕМЕНЧУЦЬКОГО РАЙОНУ ПОЛТАВСЬКОЇ ОБЛАСТІ</t>
  </si>
  <si>
    <t>РОЖДАЄВ ЄВГЕН ОЛЕКСАНДРОВИЧ</t>
  </si>
  <si>
    <t>ТОВАРИСТВО З ОБМЕЖЕНОЮ ВІДПОВІДАЛЬНІСТЮ "ОФІС КОМФОРТ"</t>
  </si>
  <si>
    <t>КЛИМОВИЧ МИХАЙЛО ВАСИЛЬОВИЧ</t>
  </si>
  <si>
    <t>ПРИВАТНЕ ПІДПРИЄМСТВО "НТК-ПРОВАЙДЕР"</t>
  </si>
  <si>
    <t>ТОВ "ПРИКАРПАТЕНЕРГОТРЕЙД"</t>
  </si>
  <si>
    <t>Послуги з виготовлення інформаційної продукції; код 79340000-9 - Рекламні та маркетингові послуги за ДК 021:2015 «Єдиний закупівельний словник»</t>
  </si>
  <si>
    <t>Здійснення технічного нагляду за виконанням поточного ремонту в рамках предмету закупівлі: «Поточний ремонт огорожі складу РАО військової частини А4267»; код 71240000-2 Архітектурні, інженерні та планувальні послуги за ДК 021:2015 "Єдиний закупівельний словник"</t>
  </si>
  <si>
    <t>Поточний ремонт огорожі складу РАО військової частини А4267; код 45450000-6 Інші завершальні будівельні роботи за ДК 021:2015 «Єдиний закупівельний словник»</t>
  </si>
  <si>
    <t xml:space="preserve">Виготовлення проектно-кошторисної документації по об'єкту: «Поточний ремонт огорожі складу РАО військової частини А4267»; 71240000-2 Архітектурні, інженерні та планувальні послуги за ДК 021:2015 «Єдиний закупівельний словник» </t>
  </si>
  <si>
    <t xml:space="preserve">Страхування транспортного засобу; код 66510000-8 Страхові послуги за ДК 021:2015 «Єдиний закупівельний словник» </t>
  </si>
  <si>
    <t xml:space="preserve">Надання послуг нерегулярних пасажирських перевезень; код 60140000-1 Нерегулярні пасажирські перевезення за ДК 021:2015 «Єдиний закупівельний словник» </t>
  </si>
  <si>
    <t xml:space="preserve">Придбання будівельних матеріалів; код 44110000-4 Конструкційні матеріали за ДК 021:2015  «Єдиний закупівельний словник» </t>
  </si>
  <si>
    <t xml:space="preserve">Щебінь; код 14210000-6 Гравій, пісок, щебінь і наповнювачі за ДК 021:2015  «Єдиний закупівельний словник» </t>
  </si>
  <si>
    <t>Здійснення технічного нагляду за виконанням поточного ремонту в рамках предмету закупівлі:  «Поточний ремонт системи опалення в приміщенні ангар-лабораторії №2  військової частини А0742»; код 71240000-2 Архітектурні, інженерні та планувальні послуги за ДК 021:2015 «Єдиний закупівельний словник</t>
  </si>
  <si>
    <t xml:space="preserve">Поточний ремонт системи опалення в приміщенні ангар-лабораторії №2  військової частини А0742; код 45450000-6 Інші завершальні будівельні роботи за ДК 021:2015  «Єдиний закупівельний словник» </t>
  </si>
  <si>
    <t xml:space="preserve">Виготовлення проектно-кошторисної документації по об’єкту: Поточний ремонт системи опалення в приміщенні ангар-лабораторії №2  військової частини А0742; код 71240000-2 Архітектурні, інженерні та планувальні послуги за ДК 021:2015 «Єдиний закупівельний словник» </t>
  </si>
  <si>
    <t xml:space="preserve">Послуги з централізованого водовідведення; код 90430000-0 Послуги з відведення стічних вод за ДК 021:2015 «Єдиний закупівельний словник» 
</t>
  </si>
  <si>
    <t xml:space="preserve">Послуги з централізованого водопостачання; код 65110000-7 Розподіл води за ДК 021:2015 «Єдиний закупівельний словник» </t>
  </si>
  <si>
    <t>Розподіл електричної енергії, код - 65310000-9 Розподіл електричної енергії за ДК 021:2015 «Єдиний закупівельний словник»</t>
  </si>
  <si>
    <t xml:space="preserve">Розподіл електроенергії активної, послуги із забезпечення перетікань реактивної електричної енергії; код - 65310000-9 Розподіл електричної енергії за ДК 021:2015 «Єдиний закупівельний словник </t>
  </si>
  <si>
    <t>Послуги з надання  доступу до вузлів інтегрованої інформаційно-телекомунікаційної автоматизованої системи відеоспостереження та відеоаналітики міста Коломиї за допомогою VPN мережі на базі всесвітньої мережі Інтернет без обмежень обсягів спожитого трафіку; код - 72710000-0 Послуги у сфері локальних мереж за ДК 021:2015 «Єдиний закупівельний словник»</t>
  </si>
  <si>
    <t xml:space="preserve">Авторський супровід програмного забезпечення «Дебет Плюс V12"; код 72250000-2 Послуги, пов’язані із системами та підтримкою за ДК 021:2015 «Єдиний закупівельний словник» </t>
  </si>
  <si>
    <t>Зошити; код – 22830000-7 Зошити за ДК 021:2015 Єдиного закупівельного словника</t>
  </si>
  <si>
    <t xml:space="preserve">Надання прав на використання програмної продукції Системи «YOUCONTROL»; код 48610000-7 Системи баз даних за ДК 021:2015 «Єдиний закупівельний словник» </t>
  </si>
  <si>
    <t xml:space="preserve">Придбання акумуляторів; код  34320000-6 - Механічні запасні частини, крім двигунів і частин двигунів за ДК 021:2015  «Єдиний закупівельний словник» </t>
  </si>
  <si>
    <t xml:space="preserve">Охорона майна на об’єкті: технічне обслуговування сигналізації, що встановлена в приміщенні управління надання адміністративних послуг за адресою м. Коломия, пл. Привокзальна, 2а/1; код - 75240000-0   Послуги із забезпечення громадської безпеки, охорони правопорядку та громадського порядку за ДК 021:2015 «Єдиний закупівельний словник» </t>
  </si>
  <si>
    <t xml:space="preserve">Охорона майна на об’єкті: приміщення міського архіву за адресою м. Коломия, вул. Драгоманова, 3в; код - 75240000-0   Послуги із забезпечення громадської безпеки, охорони правопорядку та громадського порядку за ДК 021:2015 «Єдиний закупівельний словник» </t>
  </si>
  <si>
    <t xml:space="preserve">Охорона  майна на  об’єкті:   Відділ  ведення  Державного   реєстру  виборців   за  адресою м. Коломия, пл. Привокзальна, 2; код - 79710000-4 Охоронні послуги за ДК 021:2015 «Єдиний закупівельний словник» 
</t>
  </si>
  <si>
    <t xml:space="preserve">Охорона майна на об’єкті: технічне обслуговування сигналізації, що встановлена у адміністративному приміщенні за адресою м. Коломия, проспект Грушевського 1; код -  75240000-0   Послуги із забезпечення громадської безпеки, охорони правопорядку та громадського порядку за ДК 021:2015 «Єдиний закупівельний словник» 
</t>
  </si>
  <si>
    <t>Охорона майна на об’єкті: Управління надання адміністративних послуг м. Коломия, вул. Привокзальна, 2а/1; код - 75240000-0   Послуги із забезпечення громадської безпеки, охорони правопорядку та громадського порядку за ДК 021:2015 «Єдиний закупівельний словник»</t>
  </si>
  <si>
    <t xml:space="preserve">Послуги з вивезення сміття; код - 90510000-5 Утилізація/видалення сміття та поводження зі сміттям за ДК 021:2015 «Єдиний закупівельний словник» </t>
  </si>
  <si>
    <t xml:space="preserve">Шини; код  34350000-5 - Шини для транспортних засобів великої та малої тоннажності за ДК 021:2015  «Єдиний закупівельний словник»  </t>
  </si>
  <si>
    <t xml:space="preserve">Послуги з вивезення сміття; 90510000-5 Утилізація/видалення сміття та поводження зі сміттям за ДК 021:2015 «Єдиний закупівельний словник» </t>
  </si>
  <si>
    <t>Доступ до програмного забезпечення «CarP» для інспектора з паркування у вигляді мобільного додатку; код - 72260000-5 Послуги, пов’язані з програмним забезпеченням за ДК 021:2015 «Єдиний закупівельний словник»</t>
  </si>
  <si>
    <t>Доступ до програмного забезпечення «CarP»; код - 72260000-5 Послуги, пов’язані з програмним забезпеченням за ДК 021:2015 «Єдиний закупівельний словник»</t>
  </si>
  <si>
    <t xml:space="preserve">Продукція для чищення; код 39830000-9 Продукція для чищення за ДК 021:2015 «Єдиний закупівельний словник» </t>
  </si>
  <si>
    <t xml:space="preserve">Поліетиленові мішки та пакети для сміття; код 19640000-4 Поліетиленові мішки та пакети для сміття за ДК 021:2015 «Єдиний закупівельний словник» </t>
  </si>
  <si>
    <t xml:space="preserve">Готові текстильні вироби; код 39520000-3 - Готові текстильні вироби за ДК 021:2015 «Єдиний закупівельний словник» </t>
  </si>
  <si>
    <t xml:space="preserve">Аксесуари до робочого одягу; код 18140000-2 - Аксесуари до робочого одягу за ДК 021:2015 «Єдиний закупівельний словник» </t>
  </si>
  <si>
    <t>Туалетний папір, носові хустинки, рушники для рук і серветки; код 33760000-5 - Туалетний папір, носові хустинки, рушники для рук і серветки за ДК 021:2015 «Єдиний закупівельний словник»</t>
  </si>
  <si>
    <t>Послуги розподілу природного газу; код 65210000-8» Розподіл газу за ДК 021:2015 «Єдиний закупівельний словник»</t>
  </si>
  <si>
    <t>Послуги доступу до мережі інтернет; код 72410000-7 Послуги провайдерів за ДК 021:2015 «Єдиний закупівельний словник»</t>
  </si>
  <si>
    <t>Послуги у сфері інформаційних технологій з віддаленим використанням потужностей серверного апаратно-програмного комплексу; код - 72310000-1 Послуги з обробки даних за ДК 021:2015 «Єдиний закупівельний словник»</t>
  </si>
  <si>
    <t>Встановлення ПП'ESET PROTECT Entry з локальним управлінням' (В5). На 3 роки. Пільгова. Для захисту 5 об'єктів; код 48760000-3 Пакети програмного забезпечення для захисту від вірусів за ДК 021:2015 «Єдиний закупівельний словник»</t>
  </si>
  <si>
    <t>Папір для друку, код - 30190000-7 Офісне устаткування та приладдя різне  за ДК 021:2015 Єдиного закупівельного словника:Папір для друку, код - 30190000-7 Офісне устаткування та приладдя різне  за ДК 021:2015 Єдиного закупівельного словника</t>
  </si>
  <si>
    <t xml:space="preserve">Бензин А-95, Дизельне паливо;  код 09130000-9 Нафта і дистиляти  за ДК 021:2015 «Єдиного закупівельного словника» :Бензин А-95, Дизельне паливо;  код 09130000-9 Нафта і дистиляти  за ДК 021:2015 «Єдиного закупівельного словника» </t>
  </si>
  <si>
    <t>Послуги з веб-хостингу; код 72410000-7 Послуги провайдерів за ДК 021:2015 «Єдиний закупівельний словник»</t>
  </si>
  <si>
    <t>Електрична енергія, код 09310000-5 – Електрична енергія за ДК 021:2015 «Єдиний закупівельний словник»:Електрична енергія, код 09310000-5 – Електрична енергія за ДК 021:2015 «Єдиний закупівельний словник»</t>
  </si>
  <si>
    <t>Договір про відшкодування за спожиту електричну енергію</t>
  </si>
  <si>
    <t>UA-2022-12-27-015176-a</t>
  </si>
  <si>
    <t xml:space="preserve"> 2273 Оплата електроенергії</t>
  </si>
  <si>
    <t>2240  Оплата послуг (крім комунальних)</t>
  </si>
  <si>
    <t>2210  Предмети, матеріали, обладнання та інвентар</t>
  </si>
  <si>
    <t>2274  Оплата природного газу</t>
  </si>
  <si>
    <t>2240 Оплата послуг (крім комунальних)</t>
  </si>
  <si>
    <t xml:space="preserve">2275 Оплата інших енергоносіїв та інших комунальних послуг </t>
  </si>
  <si>
    <t>Андрусишин Христина Ігорівна</t>
  </si>
  <si>
    <t>ТзОВ "Прикарпатське виробниче підприємство зв'язку"</t>
  </si>
  <si>
    <t>Відшкодування частини прийнятих витрат ОСББ, пов'язаних із здійсненням заходів з енергоефективності</t>
  </si>
  <si>
    <t>ОСББ "Лисенка 30"</t>
  </si>
  <si>
    <t>110150                                 118220</t>
  </si>
  <si>
    <t>2272    Оплата водопостачання та водовідведення</t>
  </si>
  <si>
    <t>03410000-7 Деревина</t>
  </si>
  <si>
    <t>44420000-0 Будівельні товари</t>
  </si>
  <si>
    <t>44160000-9 Магістралі, трубопроводи, труби, обсадні труби, тюбінги та супутні вироби</t>
  </si>
  <si>
    <t>44310000-6 Вироби з дроту</t>
  </si>
  <si>
    <t>50110000-9 Послуги з ремонту і технічного обслуговування мототранспортних засобів і супутнього обладнання</t>
  </si>
  <si>
    <t>24910000-6 Клеї</t>
  </si>
  <si>
    <t>44830000-7 Мастики, шпаклівки, замазки та розчинники</t>
  </si>
  <si>
    <t>Поточний ремонт (облаштування)  споруди цивільного захисту (найпростіше укриття) за адресою пл. Привокзальна, 2а/1</t>
  </si>
  <si>
    <t>Поточний ремонт (облаштування) споруди цивільного захисту (протирадіаційне укриття №33783)</t>
  </si>
  <si>
    <t>Кільце колодязя КС 20-9; Плита днища колодязя ПД 20-1; Плита перекриття колодязя ПД 20-1; Кільце колодязя КС 15-9; Плита днища колодязя ПД 15-2; Плита перекриття колодязя ПП 15-2; Кільце колодязя КС 10-8; Кільце колодязя КС 10-6; Плита днища колодязя ПД 10-1; Плита перекриття колодязя ПП10-1; Плита перекриття колодязя ПП10-2</t>
  </si>
  <si>
    <t>Пиломатеріали хвойні</t>
  </si>
  <si>
    <t>Профілі сталеві листові Н-57 з полім. покр.; Спецпланка (410) 6005; Спецпланка (150) 6005; Спецпланка (215) 6005</t>
  </si>
  <si>
    <t>Люк каналізаційний важкий Т (С250) (20); Люк п/п С250 чорний "БЛ"  810х110 25т; Люк п/п легкий чорний "А15"  ф780х80 1,5т</t>
  </si>
  <si>
    <t>Труба KGRM д 160*1.0м; Труба KGRM д 160*3.0м; Труба KGRM д 200*3.0м; Трійник KGЕM д 200*90; Труба KGRM д 200*2.0м; Труба KGRM д 200*1.0м</t>
  </si>
  <si>
    <t>Дріт в'язальний d=1,2мм; 60-110 кг</t>
  </si>
  <si>
    <t>Рідина для вікон «Містер мускул» (1л); Рідина для підлоги «Галус» (1,2л); Рідина для миття посуду Фейрі (1л); Засіб для чищення меблів «Пронто»; Рідке мило «Екстра Алоє» (5л); Засіб для чищення зливних труб Titan ; Універсальний антисептик «Sgrassatore»; Рідина для унітазу  «Уплон» 1л</t>
  </si>
  <si>
    <t>Ганчірки волого – поглинаючі «Фрекен Бок» ; Ганчірки універсальні «Фрекен Бок» ; Ганчірки для підлоги «Бонус» ; Губки кухонні «Бонус»</t>
  </si>
  <si>
    <t>Туалетний папір "Кохавинка" ; Паперові рушники "Софіон" ; Туалетний папір  "Кохавинка" (Втулка Велетень)</t>
  </si>
  <si>
    <t>Кульки для сміття на 20л; Кульки для сміття на 35л; Кульки для сміття на 160л</t>
  </si>
  <si>
    <t>Профілі сталеві листові ПК-20 0,48 з полім. покр.; Профілі сталеві листові ПК-20 0,45 з полім. покр.; Коньок (416) 2 м; Спецпланка (310)</t>
  </si>
  <si>
    <t>Профілі сталеві листові НС-44 0,48 з полім. покр.; Профілі сталеві листові ПК-20  0,45 з полім. покр.; Коньок  (416)  2 м; Спецпланка  (310)</t>
  </si>
  <si>
    <t>Діагностика гідросистеми екскаватора  виявлення несправностей; Ремонт гідронасоса екскаватора; Ремонт шарнірних з'єднань виносних опор і рами екскаватора; Ремонт шарнірних з'єднань гідроциліндрів виносних опор; Ремонт гідросистеми екскаватора; Заміна РВТ(14шт); Ремонт  автомобільного причіпа; Ремонт ходової частини</t>
  </si>
  <si>
    <t>Шина Mitas TG-02 (індустріальна) 14.00 R24   153А8    РR16</t>
  </si>
  <si>
    <t>Клей для плитки Mira 3000 Standardfix 25кг</t>
  </si>
  <si>
    <t>Плитка Грес (0070) 30*30*7,5 (68,4)</t>
  </si>
  <si>
    <t>Фуга Ceresit  CE 40 aguastatic сіра 5кг</t>
  </si>
  <si>
    <t>Супровід інформаційної системи енергетичного моніторингу (ІСЕ)</t>
  </si>
  <si>
    <t>Послуги з відправки смс-повідомлень з використанням Альфанумеричного імені</t>
  </si>
  <si>
    <t>ДЯЧУК ВОЛОДИМИР ВАСИЛЬОВИЧ</t>
  </si>
  <si>
    <t>ВАХНЯК ОЛЕГ ІГОРОВИЧ</t>
  </si>
  <si>
    <t>ГУЗАК МАРІЯ ІВАНІВНА</t>
  </si>
  <si>
    <t>ТОВАРИСТВО З ОБМЕЖЕНОЮ ВІДПОВІДАЛЬНІСТЮ "АЛМЕТ"</t>
  </si>
  <si>
    <t>ТОВАРИСТВО З ДОДАТКОВОЮ ВІДПОВІДАЛЬНІСТЮ "БУЛАТ"</t>
  </si>
  <si>
    <t>ТОВАРИСТВО З ОБМЕЖЕНОЮ ВІДПОВІДАЛЬНІСТЮ "ВАРТІС"</t>
  </si>
  <si>
    <t>АГРОПРОМИСЛОВО-РЕМОНТНО-ВИРОБНИЧЕ ПІДПРИЄМСТВО "ТЕХНІКА" У ФОРМІ ТОВАРИСТВА З ОБМЕЖЕНОЮ ВІДПОВІДАЛЬНІСТЮ</t>
  </si>
  <si>
    <t>ТОВАРИСТВО З ОБМЕЖЕНОЮ ВІДПОВІДАЛЬНІСТЮ "ЕПІЦЕНТР К"</t>
  </si>
  <si>
    <t>ТОВАРИСТВО З ОБМЕЖЕНОЮ ВІДПОВІДАЛЬНІСТЮ "ФІАТУ"</t>
  </si>
  <si>
    <t>ПРАТ "ВФ УКРАЇНА"</t>
  </si>
  <si>
    <t>Поточний ремонт (облаштування)  споруди цивільного захисту (найпростіше укриття) за адресою пл. Привокзальна, 2а/1; код 45450000-6 Інші завершальні будівельні роботи за ДК 021:2015  «Єдиний закупівельний словник».</t>
  </si>
  <si>
    <t>Поточний ремонт (облаштування) споруди цивільного захисту (протирадіаційне укриття №33783); код 45450000-6 Інші завершальні будівельні роботи за ДК 021:2015  «Єдиний закупівельний словник».</t>
  </si>
  <si>
    <t>Конструкційні матеріали; 44110000-4 — Конструкційні матеріали  за ДК 021:2015 «Єдиний закупівельний словник»</t>
  </si>
  <si>
    <t>Придбання деревини; код 03410000-7 Деревина за ДК 021:2015  «Єдиний закупівельний словник»</t>
  </si>
  <si>
    <t xml:space="preserve">Придбання люків; код 44420000-0 Будівельні товари за ДК 021:2015  «Єдиний закупівельний словник» </t>
  </si>
  <si>
    <t xml:space="preserve">Магістралі, трубопроводи, труби, обсадні труби, тюбінги та супутні вироби; код 44160000-9	Магістралі, трубопроводи, труби, обсадні труби, тюбінги та супутні вироби за ДК 021:2015  «Єдиний закупівельний словник» </t>
  </si>
  <si>
    <t xml:space="preserve">Придбання дроту; код 44310000-6  Вироби з дроту за ДК 021:2015 «Єдиний закупівельний словник» </t>
  </si>
  <si>
    <t>Продукція для чищення; код 39830000-9 Продукція для чищення за ДК 021:2015 «Єдиний закупівельний словник»</t>
  </si>
  <si>
    <t>Готові текстильні вироби; код 39520000-3 - Готові текстильні вироби за ДК 021:2015 «Єдиний закупівельний словник»</t>
  </si>
  <si>
    <t>Поліетиленові мішки та пакети для сміття; код 19640000-4 Поліетиленові мішки та пакети для сміття за ДК 021:2015 «Єдиний закупівельний словник»</t>
  </si>
  <si>
    <t xml:space="preserve">Ремонт транспортних засобів; код 50110000-9 -Послуги з ремонту і технічного обслуговування мототранспортних засобів і супутнього обладнання за ДК 021:2015 «Єдиний закупівельний словник» </t>
  </si>
  <si>
    <t xml:space="preserve">Аксесуари до робочого одягу; код 18140000-2 - Аксесуари до робочого одягу за ДК 021:2015 «Єдиний закупівельний словник»; </t>
  </si>
  <si>
    <t>Шини; код  34350000-5 - Шини для транспортних засобів великої та малої тоннажності за ДК 021:2015  «Єдиний закупівельний словник»</t>
  </si>
  <si>
    <t xml:space="preserve">Клей для плитки;  код  24910000-6  - Клеї за ДК 021:2015  «Єдиний закупівельний словник» </t>
  </si>
  <si>
    <t xml:space="preserve">Плитка;  код  44110000-4	 - Конструкційні матеріали за ДК 021:2015 «Єдиний закупівельний словник» </t>
  </si>
  <si>
    <t xml:space="preserve">Фуга;  код  44830000-7 - Мастики, шпаклівки, замазки та розчинники  за ДК 021:2015  «Єдиний закупівельний словник» </t>
  </si>
  <si>
    <t>Супровід інформаційної системи енергетичного моніторингу (ІСЕ); код - 72260000-5 Послуги, пов’язані з програмним забезпеченням за ДК 021:2015 «Єдиний закупівельний словник»</t>
  </si>
  <si>
    <t>Послуги з відправки смс-повідомлень з використанням Альфанумеричного імені, код – 64210000-1 – Послуги телефонного зв’язку та передачі даних за ДК 021:2015 «Єдиного закупівельного словника»:Послуги з відправки смс-повідомлень з використанням Альфанумеричного імені, код – 64210000-1 – Послуги телефонного зв’язку та передачі даних за ДК 021:2015 «Єдиного закупівельного словника»</t>
  </si>
  <si>
    <t>Доодаткова угода про здійснення розрахунково - касового обслуговування      №06-19/16 від 03.01.2019р</t>
  </si>
  <si>
    <t>Відшкодування витрат балансоутримувача на утримання орендованого нерухомого майна та надання комунальних послуг орендарю</t>
  </si>
  <si>
    <t>Єдиний центр надання реабілітаційних та соціальних послуг міста Коломия</t>
  </si>
  <si>
    <t>ТзОВ "Вартіс"</t>
  </si>
  <si>
    <t>UA-2023-03-03-006610-a</t>
  </si>
  <si>
    <t>Арматура; код 44160000-9 Магістралі, трубопроводи, труби, обсадні труби, тюбінги та супутні вироби за ДК 021:2015 «Єдиний закупівельний словник»</t>
  </si>
  <si>
    <t>2210 Предмети, матеріали, обладнання та інвентар</t>
  </si>
  <si>
    <t>Арматура №8; кл. А-400С/500С; 12м</t>
  </si>
  <si>
    <t>Здійснення технічного нагляду за виконанням поточного ремонту в рамках предмету закупівлі:  «Поточний ремонт (облаштування) споруди цивільного захисту (протирадіаційне укриття №33783); код 71240000-2 Архітектурні, інженерні та планувальні послуги за ДК 021:2015 «Єдиний закупівельний словник»</t>
  </si>
  <si>
    <t>Здійснення технічного нагляду за виконанням поточного ремонту в рамках предмету закупівлі:  «Поточний ремонт (облаштування) споруди цивільного захисту (протирадіаційне укриття №33783)</t>
  </si>
  <si>
    <t xml:space="preserve">Здійснення технічного нагляду за виконанням поточного ремонту в рамках предмету закупівлі:  «Поточний ремонт (облаштування) споруди цивільного захисту (найпростіше укриття) за адресою пл.Привокзальна, 2а/1»; код 71240000-2 Архітектурні, інженерні та планувальні послуги за ДК 021:2015 «Єдиний закупівельний словник» </t>
  </si>
  <si>
    <t>Здійснення технічного нагляду за виконанням поточного ремонту в рамках предмету закупівлі:  «Поточний ремонт (облаштування) споруди цивільного захисту (найпростіше укриття) за адресою пл.Привокзальна, 2а/1»</t>
  </si>
  <si>
    <t>Оплата послуг адвоката; код – 79110000-8 Послуги з юридичного консультування та юридичного представництва за ДК 021:2015 «Єдиного закупівельного словника»</t>
  </si>
  <si>
    <t>Оплата послуг адвоката</t>
  </si>
  <si>
    <t>79110000-8 Послуги з юридичного консультування та юридичного представництва</t>
  </si>
  <si>
    <t>АДВОКАТСЬКЕ ОБ'ЄДНАННЯ "ЛЕЩЕНКО, ДОРОШЕНКО І ПАРТНЕРИ"</t>
  </si>
  <si>
    <t>39689113</t>
  </si>
  <si>
    <t>Послуги з технічного обслуговування системи відеоспостереження вулиць міста Коломия; код 50340000-0 - Послуги з ремонту і технічного обслуговування аудіовізуального та оптичного обладнання за ДК 021:2015 «Єдиний закупівельний словник»:Послуги з технічного обслуговування системи відеоспостереження вулиць міста Коломия</t>
  </si>
  <si>
    <t>Послуги з технічного обслуговування системи відеоспостереження вулиць міста Коломия</t>
  </si>
  <si>
    <t>50340000-0 Послуги з ремонту і технічного обслуговування аудіовізуального та оптичного обладнання</t>
  </si>
  <si>
    <t>ФОП  ДЕМ'ЯНЮК ВАСИЛЬ МИХАЙЛОВИЧ</t>
  </si>
  <si>
    <t>2252704037</t>
  </si>
  <si>
    <t>Послуги з поточного ремонту і технічного обслуговування комп’ютерної техніки; код – 50320000-4 Послуги з ремонту і технічного обслуговування персональних комп’ютерів за ДК 021:2015 Єдиного закупівельного словника</t>
  </si>
  <si>
    <t>Ремонт системного блоку з заміною материнської плати; Ремонт системи охолодження ноутбука; Ремонт системного блоку з заміною ОЗУ 4 Гб; Ремонт ноутбука з заміною жорсткого диска 2.5" 500 Gb SATA III; Ремонт системного блоку з заміною жорсткого диска 3.5" 500 Gb SATA III ; Ремонт WiFi-модулю ноутбука; Ремонт мережевої карти в системному блоці; Ремонт системи охолодження системного блоку; Ремонт клавіатури ноутбука; Чистка ноутбука; Ремонт системного блоку з заміною блоку живлення 400w</t>
  </si>
  <si>
    <t>50320000-4 Послуги з ремонту і технічного обслуговування персональних комп’ютерів</t>
  </si>
  <si>
    <t>ОЛІЙНИК ОЛЕКСАНДР ВОЛОДИМИРОВИЧ</t>
  </si>
  <si>
    <t>2944912898</t>
  </si>
  <si>
    <t>Членські внески; код 98130000-3 Послуги різних членських організацій за ДК 021:2015 "Єдиний закупівельний словник"</t>
  </si>
  <si>
    <t>Членські внески</t>
  </si>
  <si>
    <t>98130000-3 Послуги різних членських організацій</t>
  </si>
  <si>
    <t>ВСЕУКРАЇНСЬКА АСОЦІАЦІЯ ОРГАНІВ МІСЦЕВОГО САМОВРЯДУВАННЯ "АСОЦІАЦІЯ МІСТ УКРАЇНИ"</t>
  </si>
  <si>
    <t>20069689</t>
  </si>
  <si>
    <t xml:space="preserve">Посвідчення; код 22450000-9 Друкована продукція з елементами захисту за ДК 021:2015 «Єдиного закупівельного словника» </t>
  </si>
  <si>
    <t>Посвідчення іменне; Службове посвідчення з фотографією</t>
  </si>
  <si>
    <t>ПОЯСИК ОЛЕКСАНДР ГЕННАДІЙОВИЧ</t>
  </si>
  <si>
    <t>3126805811</t>
  </si>
  <si>
    <t>Мережеве обладнання; код 32420000-3 Мережеве обладнання за ДК 021:2015 «Єдиний закупівельний словник»</t>
  </si>
  <si>
    <t xml:space="preserve">Патч – панель FOB 19/1-332/32-1-24; Лицьова панель SC-08D; З’єднувач Adaptor AD-SC/PC 
; Пігтейл Pigtail OFP-SC/UPC 1,5
; Кабель оптичний UT008-SM-03-T, 4000м=1бхт.
; Муфта для зварювання FOSC-SF030/24-2-48
</t>
  </si>
  <si>
    <t>32420000-3 Мережеве обладнання</t>
  </si>
  <si>
    <t>ТОВАРИСТВО З ОБМЕЖЕНОЮ ВІДПОВІДАЛЬНІСТЮ "ДЕПС ТЕЛЕКОМ"</t>
  </si>
  <si>
    <t>41670803</t>
  </si>
  <si>
    <t xml:space="preserve">Придбання безпілотних літальних апаратів; код 34710000-7 Вертольоти, літаки, космічні та інші літальні апарати з двигуном за ДК 021:2015  «Єдиний закупівельний словник». </t>
  </si>
  <si>
    <t>Комплект квадрокоптера моделі Matrice 30T, в тому числі: 
Квадрокоптер моделі Matrice 30T – 1шт.;
Акумулятор до квадрокоптеру DJI Batterie TB30 – 4шт.; 
Зарядна станція BATTERY STATION BS30 – 1шт.
; Комплект квадрокоптера моделі Matrice 30, в тому числі: 
Квадрокоптер моделі Matrice 30 – 1шт.;
Акумулятор до квадрокоптеру DJI Batterie TB30 – 4шт.; 
Зарядна станція BATTERY STATION BS30 – 1шт.
; Квадрокоптер DJI Mavic 3</t>
  </si>
  <si>
    <t>34710000-7 Вертольоти, літаки, космічні та інші літальні апарати з двигуном</t>
  </si>
  <si>
    <t>ТОВАРИСТВО З ОБМЕЖЕНОЮ ВІДПОВІДАЛЬНІСТЮ "КВАДРО.ЮА"</t>
  </si>
  <si>
    <t>43094301</t>
  </si>
  <si>
    <t>Ремонт транспортних засобів; код 50110000-9 Послуги з ремонту і технічного обслуговування мототранспортних засобів і супутнього обладнання за ДК 021:2015  «Єдиний закупівельний словник»</t>
  </si>
  <si>
    <t>Технічне обслуговування двигуна і ремонт його системи; Ремонт автоматичної коробки передач; Ремонт електрообладнання; Ремонт гідросистеми навантажувача; Ремонт облицювання навантажувача; Ремонт ходової частини</t>
  </si>
  <si>
    <t>31430142</t>
  </si>
  <si>
    <t>Послуги зі створення та розміщення інформаційної продукції; код 79340000-9 - Рекламні та маркетингові послуги за ДК 021:2015 «Єдиний закупівельний словник»</t>
  </si>
  <si>
    <t>Послуги зі створення та розміщення інформаційної продукції</t>
  </si>
  <si>
    <t>Налаштування телекомунікаційної проводки; код 72410000-7 Послуги провайдерів за ДК 021:2015 «Єдиний закупівельний словник»</t>
  </si>
  <si>
    <t>Налаштування телекомунікаційної проводки</t>
  </si>
  <si>
    <t>UA-2023-03-09-003868-a,   Додаткова угода до Договору №88 від 08.03.2023 року</t>
  </si>
  <si>
    <t>Виготовлення проектно-кошторисної документації по об'єкту: «Поточний ремонт системи водовідведення з покрівлі приміщення штабу №2 військової частини А4267, в/м №1, м.Коломия»</t>
  </si>
  <si>
    <t xml:space="preserve">Виготовлення проектно-кошторисної документації по об'єкту: «Поточний ремонт системи водовідведення з покрівлі приміщення штабу №2 військової частини А4267, в/м №1, м.Коломия»; 71240000-2 Архітектурні, інженерні та планувальні послуги за ДК 021:2015 «Єдиний закупівельний словник»  </t>
  </si>
  <si>
    <t>Виготовлення проектно-кошторисної документації по об'єкту: «Поточний ремонт - відновлення відмостки з дрібнорозмірних фігурних елементів мощення біля казарми 1, казарми 3, казарми 5, казарми 6 військової частини А4267, в/м №1, м.Коломия»</t>
  </si>
  <si>
    <t>Виготовлення проектно-кошторисної документації по об'єкту: «Поточний ремонт - відновлення відмостки з дрібнорозмірних фігурних елементів мощення біля казарми 1, казарми 3, казарми 5, казарми 6 військової частини А4267, в/м №1, м.Коломия»; 71240000-2 Архітектурні, інженерні та планувальні послуги за ДК 021:2015 «Єдиний закупівельний словник»</t>
  </si>
  <si>
    <t>Виготовлення проектно-кошторисної документації по об'єкту: «Поточний ремонт системи водовідведення складу майна (будівля № 83) військової частини А4267, в/м №1, м.Коломия»</t>
  </si>
  <si>
    <t>Виготовлення проектно-кошторисної документації по об'єкту: «Поточний ремонт системи водовідведення складу майна (будівля № 83) військової частини А4267, в/м №1, м.Коломия»; 71240000-2 Архітектурні, інженерні та планувальні послуги за ДК 021:2015 «Єдиний закупівельний словник»</t>
  </si>
  <si>
    <t>Виготовлення проектно-кошторисної документації по об'єкту: «Поточний ремонт внутрішньої огорожі території складу РАО військової частини А4267, в/м №1, м.Коломия»</t>
  </si>
  <si>
    <t>Виготовлення проектно-кошторисної документації по об'єкту: «Поточний ремонт внутрішньої огорожі території складу РАО військової частини А4267, в/м №1, м.Коломия»; 71240000-2 Архітектурні, інженерні та планувальні послуги за ДК 021:2015 «Єдиний закупівельний словник»</t>
  </si>
  <si>
    <t>Виготовлення проектно-кошторисної документації по об'єкту: «Поточний ремонт території від складської зони до складу паливно-мастильних матеріалів військової частини А4267, в/м №1, м.Коломия»</t>
  </si>
  <si>
    <t>ПОПИК ІГОР ПЕТРОВИЧ</t>
  </si>
  <si>
    <t>Виготовлення проектно-кошторисної документації по об'єкту: «Поточний ремонт території від складської зони до складу паливно-мастильних матеріалів військової частини А4267, в/м №1, м.Коломия»; 71240000-2 Архітектурні, інженерні та планувальні послуги за ДК 021:2015 «Єдиний закупівельний словник»</t>
  </si>
  <si>
    <t>Виготовлення проектно-кошторисної документації по об'єкту: «Поточний ремонт системи вентиляції у приміщенні будинку висотного спорядження військової частини А0742»</t>
  </si>
  <si>
    <t>ТОВАРИСТВО З ОБМЕЖЕНОЮ ВІДПОВІДАЛЬНІСТЮ "ПРОЕКТ 98"</t>
  </si>
  <si>
    <t xml:space="preserve">Виготовлення проектно-кошторисної документації по об'єкту: «Поточний ремонт системи вентиляції у приміщенні будинку висотного спорядження військової частини А0742»; 71240000-2 Архітектурні, інженерні та планувальні послуги за ДК 021:2015 «Єдиний закупівельний словник» </t>
  </si>
  <si>
    <t>Виготовлення проектно-кошторисної документації по об'єкту: «Поточний ремонт внутрішньої  каналізації в приміщенні будинку висотного спорядження військової частини А0742»</t>
  </si>
  <si>
    <t xml:space="preserve">Виготовлення проектно-кошторисної документації по об'єкту: «Поточний ремонт внутрішньої  каналізації в приміщенні будинку висотного спорядження військової частини А0742»; 71240000-2 Архітектурні, інженерні та планувальні послуги за ДК 021:2015 «Єдиний закупівельний словник» </t>
  </si>
  <si>
    <t>Виготовлення проектно-кошторисної документації по об'єкту: «Електромонтажні роботи  в приміщенні ЗБУ №9  військової частини А0742»</t>
  </si>
  <si>
    <t>Виготовлення проектно-кошторисної документації по об'єкту: «Електромонтажні роботи  в приміщенні ЗБУ №9  військової частини А0742»; 71240000-2 Архітектурні, інженерні та планувальні послуги за ДК 021:2015 «Єдиний закупівельний словник»</t>
  </si>
  <si>
    <t>Електромонтажні роботи  в приміщенні ЗБУ №9  військової частини А0742</t>
  </si>
  <si>
    <t>45310000-3 Електромонтажні роботи</t>
  </si>
  <si>
    <t>АНДРУСЯК СЕРГІЙ ВАСИЛЬОВИЧ</t>
  </si>
  <si>
    <t>Електромонтажні роботи  в приміщенні ЗБУ №9  військової частини А0742; код 45310000-3 Електромонтажні роботи за ДК 021:2015  «Єдиний закупівельний словник»</t>
  </si>
  <si>
    <t>Квадрокоптер Mavic 3 Fly More Combo – CP.MA.00000452.01 DJI</t>
  </si>
  <si>
    <t>Придбання безпілотних літальних апаратів; код 34710000-7 Вертольоти, літаки, космічні та інші літальні апарати з двигуном за ДК 021:2015  «Єдиний закупівельний словник»</t>
  </si>
  <si>
    <t>Акумулятор для квадрокоптера Mavic 3 - CP.MA.00000423.01 DJI</t>
  </si>
  <si>
    <t>31440000-2 Акумуляторні батареї</t>
  </si>
  <si>
    <t>Акумулятори; код 31440000-2 Акумуляторні батареї за ДК 021:2015  «Єдиний закупівельний словник»</t>
  </si>
  <si>
    <t>Цифрова мобільна радіостанція Hytera HP705  136-17MHz, підтримка шифрування AES256, Акумулятор (BP2403 Li-polymer battery); Кліпса для фіксації рації (Spring Belt Clip BC39); Гарнітура (Earpiece with ln-line PTT and Microphone (Black)); Кабель для програмування рації (USB Data cable Hytera PC152)</t>
  </si>
  <si>
    <t>32230000-4 Апаратура для передавання радіосигналу з приймальним пристроєм</t>
  </si>
  <si>
    <t>ТОВАРИСТВО З ОБМЕЖЕНОЮ ВІДПОВІДАЛЬНІСТЮ "АСАП ДЕМО"</t>
  </si>
  <si>
    <t>Апаратура для передавання радіосигналу з приймальним пристроєм; код 32230000-4  Апаратура для передавання радіосигналу з приймальним пристроєм за ДК 021:2015  «Єдиний закупівельний словник»</t>
  </si>
  <si>
    <t>Поточний ремонт системи вентиляції у приміщенні будинку висотного спорядження військової частини А0742</t>
  </si>
  <si>
    <t>ЯЦУЛЯК ЯРОСЛАВ ТАРАСОВИЧ</t>
  </si>
  <si>
    <t>Поточний ремонт системи вентиляції у приміщенні будинку висотного спорядження військової частини А0742;  код 45450000-6 Інші завершальні будівельні роботи за ДК 021:2015  «Єдиний закупівельний словник»</t>
  </si>
  <si>
    <t>Поточний ремонт внутрішньої  каналізації в приміщенні будинку висотного спорядження військової частини А0742;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</si>
  <si>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</si>
  <si>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ТОВАРИСТВО З ОБМЕЖЕНОЮ ВІДПОВІДАЛЬНІСТЮ "ЗАХІД ІНЖИНІРИНГ"</t>
  </si>
  <si>
    <t>Поточний ремонт внутрішньої  каналізації в приміщенні будинку висотного спорядження військової частини А0742;  код 45230000-8 Будівництво трубопроводів, ліній зв’язку та електропередач, шосе, доріг, аеродромів і залізничних доріг; вирівнювання поверхонь за ДК 021:2015 «Єдиний закупівельний словник»</t>
  </si>
  <si>
    <t>Поточний ремонт території від складської зони до складу паливно-мастильних матеріалів військової частини А4267, в/м №1, м.Коломия</t>
  </si>
  <si>
    <t>ТОВАРИСТВО З ОБМЕЖЕНОЮ ВІДПОВІДАЛЬНІСТЮ "АЛЬФА ЕКО ЕНЕРДЖІ"</t>
  </si>
  <si>
    <t xml:space="preserve">Поточний ремонт території від складської зони до складу паливно-мастильних матеріалів військової частини А4267, в/м №1, м.Коломия;  код 45230000-8 Будівництво трубопроводів, ліній зв’язку та електропередач, шосе, доріг, аеродромів і залізничних доріг; вирівнювання поверхонь за ДК 021:2015 «Єдиний закупівельний словник» </t>
  </si>
  <si>
    <t>Поточний ремонт - відновлення відмостки з дрібнорозмірних фігурних елементів мощення біля казарми 1, казарми 3, казарми 5, казарми 6 військової частини А4267, в/м №1, м.Коломия</t>
  </si>
  <si>
    <t xml:space="preserve">Поточний ремонт - відновлення відмостки з дрібнорозмірних фігурних елементів мощення біля казарми 1, казарми 3, казарми 5, казарми 6 військової частини А4267, в/м №1, м.Коломия; код 45230000-8 Будівництво трубопроводів, ліній зв’язку та електропередач, шосе, доріг, аеродромів і залізничних доріг; вирівнювання поверхонь за ДК 021:2015 «Єдиний закупівельний словник» </t>
  </si>
  <si>
    <t>Поточний ремонт внутрішньої огорожі території складу РАО військової частини А4267</t>
  </si>
  <si>
    <t xml:space="preserve">Поточний ремонт внутрішньої огорожі території складу РАО військової частини А4267, в/м №1, м.Коломия; код 45450000-6 Інші завершальні будівельні роботи за ДК 021:2015  «Єдиний закупівельний словник» </t>
  </si>
  <si>
    <t>Здійснення технічного нагляду за виконанням поточного ремонту в рамках предмету закупівлі:   Поточний ремонт внутрішньої  каналізації в приміщенні будинку висотного спорядження військової частини А0742</t>
  </si>
  <si>
    <t xml:space="preserve">Здійснення технічного нагляду за виконанням поточного ремонту в рамках предмету закупівлі:   Поточний ремонт внутрішньої  каналізації в приміщенні будинку висотного спорядження військової частини А0742; код 71240000-2 Архітектурні, інженерні та планувальні послуги за ДК 021:2015 «Єдиний закупівельний словник» </t>
  </si>
  <si>
    <t>Здійснення технічного нагляду за виконанням поточного ремонту в рамках предмету закупівлі:   Поточний ремонт системи вентиляції у приміщенні будинку висотного спорядження військової частини А0742</t>
  </si>
  <si>
    <t xml:space="preserve">Здійснення технічного нагляду за виконанням поточного ремонту в рамках предмету закупівлі:   Поточний ремонт системи вентиляції у приміщенні будинку висотного спорядження військової частини А0742; код 71240000-2 Архітектурні, інженерні та планувальні послуги за ДК 021:2015 «Єдиний закупівельний словник» </t>
  </si>
  <si>
    <t>Здійснення технічного нагляду за виконанням електромонтажних робіт  в рамках предмету закупівлі:   Електромонтажні роботи  в приміщенні ЗБУ №9  військової частини А0742</t>
  </si>
  <si>
    <t xml:space="preserve">Здійснення технічного нагляду за виконанням електромонтажних робіт  в рамках предмету закупівлі:   Електромонтажні роботи  в приміщенні ЗБУ №9  військової частини А0742; код 71240000-2 Архітектурні, інженерні та планувальні послуги за ДК 021:2015 «Єдиний закупівельний словник» </t>
  </si>
  <si>
    <t>Поточний ремонт системи водовідведення з покрівлі приміщення штабу №2 військової частини А4267, в/м №1, м.Коломия</t>
  </si>
  <si>
    <t xml:space="preserve">Поточний ремонт системи водовідведення з покрівлі приміщення штабу №2 військової частини А4267, в/м №1, м.Коломия; код 45450000-6 Інші завершальні будівельні роботи за ДК 021:2015  «Єдиний закупівельний словник» </t>
  </si>
  <si>
    <t>Поточний ремонт системи водовідведення складу майна (будівля № 83) військової частини А4267, в/м №1, м.Коломия</t>
  </si>
  <si>
    <t xml:space="preserve">Поточний ремонт системи водовідведення складу майна (будівля № 83) військової частини А4267, в/м №1, м.Коломия; код 45450000-6 Інші завершальні будівельні роботи за ДК 021:2015  «Єдиний закупівельний словник» </t>
  </si>
  <si>
    <t>Здійснення технічного нагляду за виконанням поточного ремонту в рамках предмету закупівлі:  Поточний ремонт території від складської зони до складу паливно-мастильних матеріалів військової частини А4267, в/м №1, м.Коломия</t>
  </si>
  <si>
    <t xml:space="preserve">Здійснення технічного нагляду за виконанням поточного ремонту в рамках предмету закупівлі:  Поточний ремонт території від складської зони до складу паливно-мастильних матеріалів військової частини А4267, в/м №1, м.Коломия; код 71240000-2 Архітектурні, інженерні та планувальні послуги за ДК 021:2015 «Єдиний закупівельний словник» </t>
  </si>
  <si>
    <t>Здійснення технічного нагляду за виконанням поточного ремонту в рамках предмету закупівлі:  Поточний ремонт - відновлення відмостки з дрібнорозмірних фігурних елементів мощення біля казарми 1, казарми 3, казарми 5, казарми 6 військової частини А4267, в/м №1, м.Коломия</t>
  </si>
  <si>
    <t xml:space="preserve">Здійснення технічного нагляду за виконанням поточного ремонту в рамках предмету закупівлі:  Поточний ремонт - відновлення відмостки з дрібнорозмірних фігурних елементів мощення біля казарми 1, казарми 3, казарми 5, казарми 6 військової частини А4267, в/м №1, м.Коломия; код 71240000-2 Архітектурні, інженерні та планувальні послуги за ДК 021:2015 «Єдиний закупівельний словник» </t>
  </si>
  <si>
    <t>Здійснення технічного нагляду за виконанням поточного ремонту в рамках предмету закупівлі:  Поточний ремонт внутрішньої огорожі території складу РАО військової частини А4267, в/м №1, м.Коломия</t>
  </si>
  <si>
    <t xml:space="preserve">Здійснення технічного нагляду за виконанням поточного ремонту в рамках предмету закупівлі:  Поточний ремонт внутрішньої огорожі території складу РАО військової частини А4267, в/м №1, м.Коломия; код 71240000-2 Архітектурні, інженерні та планувальні послуги за ДК 021:2015 «Єдиний закупівельний словник» </t>
  </si>
  <si>
    <t>Здійснення технічного нагляду за виконанням поточного ремонту в рамках предмету закупівлі:  Поточний ремонт системи водовідведення складу майна (будівля № 83) військової частини А4267, в/м №1, м.Коломия</t>
  </si>
  <si>
    <t xml:space="preserve">Здійснення технічного нагляду за виконанням поточного ремонту в рамках предмету закупівлі:  Поточний ремонт системи водовідведення складу майна (будівля № 83) військової частини А4267, в/м №1, м.Коломия; код 71240000-2 Архітектурні, інженерні та планувальні послуги за ДК 021:2015 «Єдиний закупівельний словник» </t>
  </si>
  <si>
    <t>Здійснення технічного нагляду за виконанням поточного ремонту в рамках предмету закупівлі:  Поточний ремонт системи водовідведення з покрівлі приміщення штабу №2 військової частини А4267, в/м №1, м.Коломия</t>
  </si>
  <si>
    <t xml:space="preserve">Здійснення технічного нагляду за виконанням поточного ремонту в рамках предмету закупівлі:  Поточний ремонт системи водовідведення з покрівлі приміщення штабу №2 військової частини А4267, в/м №1, м.Коломия; код 71240000-2 Архітектурні, інженерні та планувальні послуги за ДК 021:2015 «Єдиний закупівельний словник» </t>
  </si>
  <si>
    <t xml:space="preserve">Комплект квадрокоптера моделі Matrice 30T, в тому числі: 
Квадрокоптер моделі Matrice 30T – 1шт.;
Акумулятор до квадрокоптеру DJI Batterie TB30 – 4шт.; 
Зарядна станція BATTERY STATION BS30 – 1шт.
</t>
  </si>
  <si>
    <t xml:space="preserve">Ремонт коробки передач; Ремонт роздаточної коробки </t>
  </si>
  <si>
    <t>Послуги мобільного телефонного зв’язку</t>
  </si>
  <si>
    <t>Послуги мобільного телефонного зв’язку; код – 64210000-1 – Послуги телефонного зв’язку та передачі даних за ДК 021:2015 «Єдиного закупівельного словника»:Послуги мобільного телефонного зв’язку; код – 64210000-1 – Послуги телефонного зв’язку та передачі даних за ДК 021:2015 «Єдиного закупівельного словника»</t>
  </si>
  <si>
    <t>Кубок 2008; Кубок 2007</t>
  </si>
  <si>
    <t>18530000-3 Подарунки та нагороди</t>
  </si>
  <si>
    <t>БОДНАРУК ТАРАС ВОЛОДИМИРОВИЧ</t>
  </si>
  <si>
    <t>Кубки; код 18530000-3 - Подарунки та нагороди  за ДК 021:2015 «Єдиний закупівельний словник»</t>
  </si>
  <si>
    <t>Гантелі 5,5 кг; Гантелі 2 кг; Колесо для пресу; Еспандер</t>
  </si>
  <si>
    <t>37440000-4 Інвентар для фітнесу</t>
  </si>
  <si>
    <t>Інвентар для фітнесу; код 37440000-4 - Інвентар для фітнесу за ДК 021:2015 «Єдиний закупівельний словник»</t>
  </si>
  <si>
    <t>М'яч волейбольний ; М'яч баскетбольний ; М'яч футбольний ; М'яч футбольний ; М'яч фітбол</t>
  </si>
  <si>
    <t>37450000-7 Спортивний інвентар для полів і кортів</t>
  </si>
  <si>
    <t>М’ячі; код 37450000-7 – Спортивний інвентар для полів і кортів  за ДК 021:2015 «Єдиний закупівельний словник»</t>
  </si>
  <si>
    <t>Карімат</t>
  </si>
  <si>
    <t>37420000-8 Гімнастичний інвентар</t>
  </si>
  <si>
    <t>Карімат; код 37420000-8 - Гімнастичний інвентар за ДК 021:2015 «Єдиний закупівельний словник»</t>
  </si>
  <si>
    <t>Вітальна адреса</t>
  </si>
  <si>
    <t>22320000-9 Вітальні листівки</t>
  </si>
  <si>
    <t>КУЗЕНКО ТАРАС ПЕТРОВИЧ</t>
  </si>
  <si>
    <t>Вітальна адреса; код 22320000-9 Вітальні листівки за ДК 021:2015 «Єдиний закупівельний словник»</t>
  </si>
  <si>
    <t>Позачергова технічна перевірка трифазного засобу комерційного обліку електричної енергії в електромережах напругою 0,4 кВ (48)</t>
  </si>
  <si>
    <t>50410000-2 Послуги з ремонту і технічного обслуговування вимірювальних, випробувальних і контрольних приладів</t>
  </si>
  <si>
    <t>Позачергова технічна перевірка трифазного засобу комерційного обліку електричної енергії в електромережах напругою 0,4 кВ (48); код 50410000-2 Послуги з ремонту і технічного обслуговування вимірювальних, випробувальних і контрольних приладів за ДК 021:2015 «Єдиний закупівельний словник»</t>
  </si>
  <si>
    <t>2800 "Інші поточні видатки"</t>
  </si>
  <si>
    <t>44210000-5 Конструкції та їх частини</t>
  </si>
  <si>
    <t>39110000-6 Сидіння, стільці та супутні вироби і частини до них</t>
  </si>
  <si>
    <t>92220000-9 Телевізійні послуги</t>
  </si>
  <si>
    <t>44920000-5 Вапняк, гіпс і крейда</t>
  </si>
  <si>
    <t>44510000-8 Знаряддя</t>
  </si>
  <si>
    <t>39220000-0 Кухонне приладдя, товари для дому та господарства і приладдя для закладів громадського харчування</t>
  </si>
  <si>
    <t>44810000-1 Фарби</t>
  </si>
  <si>
    <t>18930000-7 Мішки та пакети</t>
  </si>
  <si>
    <t>15130000-8 М’ясопродукти</t>
  </si>
  <si>
    <t>15330000-0 Оброблені фрукти та овочі</t>
  </si>
  <si>
    <t>15530000-2 Вершкове масло</t>
  </si>
  <si>
    <t>15810000-9 Хлібопродукти, свіжовипечені хлібобулочні та кондитерські вироби</t>
  </si>
  <si>
    <t>15840000-8 Какао; шоколад та цукрові кондитерські вироби</t>
  </si>
  <si>
    <t>15540000-5 Сирні продукти</t>
  </si>
  <si>
    <t>15420000-8 Рафіновані олії та жири</t>
  </si>
  <si>
    <t>45110000-1 Руйнування та знесення будівель і земляні роботи</t>
  </si>
  <si>
    <t>64110000-0 Поштові послуги</t>
  </si>
  <si>
    <t>50310000-1 Технічне обслуговування і ремонт офісної техніки</t>
  </si>
  <si>
    <t>31150000-2 Баласти для розрядних ламп чи трубок</t>
  </si>
  <si>
    <t>32410000-0 Локальні мережі</t>
  </si>
  <si>
    <t>50330000-7 Послуги з технічного обслуговування телекомунікаційного обладнання</t>
  </si>
  <si>
    <t>Елементи металопластикових конструкцій 400*2140(0,86м2); Елементи металопластикових конструкцій 1,84*2,14(3,94м2); Елементи металопластикових конструкцій 1,84*2,14(3,94м2); Елементи металопластикових конструкцій 0,92*2,20(2,02м2)</t>
  </si>
  <si>
    <t>Крісло офісне  MARELL ANYFIX CHR68 (CH) SORO-93 тканина, сірий; Крісло офісне FLY GTP BLACK (CH) OH/5 C-26 чорно - сірий</t>
  </si>
  <si>
    <t>Послуги з виготовлення і розповсюдження інформаційних матеріалів</t>
  </si>
  <si>
    <t>Посвідчення особи з фото та вмонтованим RFID смарт - чипом</t>
  </si>
  <si>
    <t>Вапно рідке</t>
  </si>
  <si>
    <t>Пензель плоский 2,5 ТМ Темпо; Пензель  50, універс.; Валик EU Велюр 25см + руч 48мм  D8мм; МініВалик EU Велюр 10см + руч 30мм  D6мм</t>
  </si>
  <si>
    <t>Розчинник для фарб на основі Уайт – спіриту WIN пет (2,8 кг); Розчинник для фарб на основі Уайт – спіриту ТМ WIN пет (0,43 кг); Уайт – спірит + ТМ  ХІМРЕЗЕРВ пет (0,65 кг)</t>
  </si>
  <si>
    <t>Відро Алеана пластик прямокут 14л L 28см</t>
  </si>
  <si>
    <t>Емаль алкідна ПФ-1 1 5 ATOLL  синя   2,6кг; Емаль алкідна ПФ-1 1 5 ATOLL  жовта  2,6кг; Емаль алкідна ПФ-1 1 5 ATOLL  чорна  0,8кг; Емаль алкідна ПФ-1 1 5 ATOLL  жовта  2,6кг; Емаль алкідна ПФ-1 1 5 ATOLL  червоно -коричнева  2,6кг; Емаль алкідна ПФ-1 1 5 ATOLL  темно - коричнева  0,8кг; Емаль алкідна ПФ-1 1 5 ATOLL   сіра  2,6кг; Емаль алкідна ПФ-1 1 5 ATOLL   темно - сіра 2,6кг; Емаль алкідна ПФ-1 1 5 ATOLL   вишнева 2,6кг; Фарба латексна Mattlatex UA 5л; Емаль алкідна ПФ-1 1 5 ATOLL   біла 2,6кг; Емаль алкідна ПФ-1 1 5 ATOLL   зелена  2,6кг; Емаль алкідна ПФ-266  ATOLL   червоно - коричнева  2,6кг; Фарба фасадна Fassadenfarbe economic 10л</t>
  </si>
  <si>
    <t>Пакет фірмовий</t>
  </si>
  <si>
    <t xml:space="preserve">Ковбаса варена "Фірмова" вищий сорт; Ковбаса варена "Домашня" </t>
  </si>
  <si>
    <t>Кукурудза "Верес", 340г</t>
  </si>
  <si>
    <t>Масло "Ферма", 180г, 73%</t>
  </si>
  <si>
    <t>Паска 500г</t>
  </si>
  <si>
    <t xml:space="preserve">Шоколад Milka 300г </t>
  </si>
  <si>
    <t>Сир твердий "Серенада" Королівський 250г</t>
  </si>
  <si>
    <t>Олія "Королівський смак" 1л</t>
  </si>
  <si>
    <t>Послуги різних членських організацій</t>
  </si>
  <si>
    <t>Виготовлення проектно-кошторисної документації по об'єкту: «Демонтаж рекламних засобів на території Коломийської міської територіальної громади»</t>
  </si>
  <si>
    <t>Демонтаж рекламних засобів на території Коломийської міської територіальної громади</t>
  </si>
  <si>
    <t>Надання послуги з пересилання відправлень «Укрпошта Стандарт» та послуг «Кур’єрська доставка»</t>
  </si>
  <si>
    <t>Lexmark 60F5H00; Canon 725/HP 85A (CE285A); Canon 728; Canon 737; Canon CEXV36; Canon EP-27; Canon T06; HP 12A/Canon 703; HP 15A; HP 26A; HP 30A; HP 44A; HP 53A; HP 83A; OKI 45807120; TN-114; TN-116; TN-118; СБПЧ Epson L3050; СБПЧ Epson L382</t>
  </si>
  <si>
    <t>Джерело безперебійного живлення NJOY Echo Pro 2000 (UPOL-OL200EP-CG01B); Джерело безперебійного живлення Vinga VPE-800P LED plastic case</t>
  </si>
  <si>
    <t>Квадрокоптер DJI Mavic 3T Enterprise Thermal</t>
  </si>
  <si>
    <t>Виготовлення проектно-кошторисної документації по об'єкту: «Поточний ремонт (укріплення фундаментів) Ангару військової частини А0742»</t>
  </si>
  <si>
    <t>Виготовлення проектно-кошторисної документації по об'єкту: «Поточний ремонт (облаштування) споруди цивільного захисту (найпростіше укриття) за адресою пл.Привокзальна, 2а/1. Коригування»</t>
  </si>
  <si>
    <t>Виготовлення проектно-кошторисної документації по об'єкту: «Поточний ремонт (облаштування) споруди цивільного захисту (протирадіаційне укриття №33783). Коригування»</t>
  </si>
  <si>
    <t>Маршрутизатор TP-LINK Archer C80; Комутатор TP-LINK TL-SG108E; Комутатор TP-LINK LiteWave LS1008G</t>
  </si>
  <si>
    <t>Конектор Ritar RJ45 cat.5e UTP 8P8C PREMIUM 100 шт; Кабель вита пара UTP Cat/5e Ok/NET КПВ/ВП</t>
  </si>
  <si>
    <t>Поточний ремонт (укріплення фундаментів) Ангару військової частини А0742</t>
  </si>
  <si>
    <t>Здійснення технічного нагляду за виконанням поточного ремонту в рамках предмету закупівлі:  Поточний ремонт (укріплення фундаментів) Ангару військової частини А0742</t>
  </si>
  <si>
    <t>Поточний ремонт (облаштування)  споруди цивільного захисту (найпростіше укриття) за адресою пл. Привокзальна, 2а/1. Коригування</t>
  </si>
  <si>
    <t>Здійснення технічного нагляду за виконанням поточного ремонту в рамках предмету закупівлі:  «Поточний ремонт (облаштування)  споруди цивільного захисту (найпростіше укриття) за адресою пл. Привокзальна, 2а/1. Коригування»</t>
  </si>
  <si>
    <t>Здійснення технічного нагляду за виконанням поточного ремонту в рамках предмету закупівлі:  «Поточний ремонт (облаштування)  споруди цивільного захисту (протирадіаційне укриття №33783). Коригування</t>
  </si>
  <si>
    <t>Послуга з технічного обслуговування ІР-шифратора</t>
  </si>
  <si>
    <t>Плата за користування захищеним цифровим каналом з пропускною спроможністю до 15 Мб/с за адресою: пл. Привокзальна, 2А/1, м. Коломия, Коломийський район, Івано-Франківська область</t>
  </si>
  <si>
    <t>Квадрокоптер DJI Mavic 3T Enterprise Thermal CP.EN.00000415.01</t>
  </si>
  <si>
    <t>Елементи металопластикових конструкцій; код 44210000-5 Конструкції та їх частини за ДК 021:2015 «Єдиний закупівельний словник»</t>
  </si>
  <si>
    <t>Крісла офісні; код 39110000-6 Сидіння, стільці та супутні вироби і частини до них за ДК 021:2015 «Єдиний закупівельний словник»</t>
  </si>
  <si>
    <t>Послуги з виготовлення і розповсюдження інформаційних матеріалів; код 92220000-9 Телевізійні послуги за ДК 021:2015 «Єдиний закупівельний словник»:Послуги з виготовлення і розповсюдження інформаційних матеріалів; код 92220000-9 Телевізійні послуги за ДК 021:2015 «Єдиний закупівельний словник»</t>
  </si>
  <si>
    <t>Вапно;  код 44920000-5 -  Вапняк, гіпс і крейда за ДК 021:2015 «Єдиний закупівельний словник»;</t>
  </si>
  <si>
    <t xml:space="preserve">Знаряддя; код 44510000-8 Знаряддя за ДК 021:2015 «Єдиний закупівельний словник» </t>
  </si>
  <si>
    <t xml:space="preserve">Розчинники; код 44830000-7 Мастики, шпаклівки, замазки та розчинники за ДК 021:2015 «Єдиний закупівельний словник» </t>
  </si>
  <si>
    <t xml:space="preserve">Відра; код 39220000-0 Кухонне приладдя, товари для дому та господарства і приладдя для закладів громадського харчування </t>
  </si>
  <si>
    <t xml:space="preserve">Фарби; код 44810000-1 Фарби за ДК 021:2015 «Єдиний закупівельний словник» </t>
  </si>
  <si>
    <t>Пакет фірмовий; код 18930000-7	Мішки та пакети за ДК 021:2015 «Єдиний закупівельний словник»</t>
  </si>
  <si>
    <t>М’ясопродукти; код 15130000-8  М’ясопродукти за ДК 021:2015 «Єдиний закупівельний словник»</t>
  </si>
  <si>
    <t xml:space="preserve"> Кукурудза; код 15330000-0 Оброблені фрукти та овочі за ДК 021:2015 «Єдиний закупівельний словник»</t>
  </si>
  <si>
    <t>Масло; код 15530000-2  Вершкове масло за ДК 021:2015 «Єдиний закупівельний словник»</t>
  </si>
  <si>
    <t>Хлібопродукти, свіжовипечені хлібобулочні та кондитерські вироби; код 15810000-9 Хлібопродукти, свіжовипечені хлібобулочні та кондитерські вироби за ДК 021:2015 «Єдиний закупівельний словник»</t>
  </si>
  <si>
    <t>Какао; шоколад та цукрові кондитерські вироби; код 15840000-8 - Какао; шоколад та цукрові кондитерські вироби за ДК 021:2015 «Єдиний закупівельний словник»</t>
  </si>
  <si>
    <t>Сир твердий; код 15540000-5 Сирні продукти за ДК 021:2015 «Єдиний закупівельний словник»</t>
  </si>
  <si>
    <t>Олія; код 15420000-8 - Рафіновані олії та жири за ДК 021:2015 «Єдиний закупівельний словник»</t>
  </si>
  <si>
    <t>Послуги різних членських організацій; код 98130000-3 (Членські внески) послуги  за ДК 021:2015 "Єдиний закупівельний словник"</t>
  </si>
  <si>
    <t xml:space="preserve">Виготовлення проектно-кошторисної документації по об'єкту: «Демонтаж рекламних засобів на території Коломийської міської територіальної громади»; код 71240000-2 Архітектурні, інженерні та планувальні послуги за ДК 021:2015 «Єдиний закупівельний словник» </t>
  </si>
  <si>
    <t xml:space="preserve">Демонтаж рекламних засобів на території Коломийської міської територіальної громади; код 45110000-1 Руйнування та знесення будівель і земляні роботи за ДК 021:2015 "Єдиний закупівельний словник" </t>
  </si>
  <si>
    <t xml:space="preserve">Надання послуги з пересилання відправлень «Укрпошта Стандарт» та послуг «Кур’єрська доставка»; код 64110000-0 Поштові послуги  за ДК 021:2015 "Єдиний закупівельний словник" </t>
  </si>
  <si>
    <t>Заправка картриджів, код – 50310000-1 Технічне обслуговування і ремонт офісної техніки за ДК 021:2015 Єдиного закупівельного словника :Заправка картриджів, код – 50310000-1 Технічне обслуговування і ремонт офісної техніки за ДК 021:2015 Єдиного закупівельного словника</t>
  </si>
  <si>
    <t>Джерела безперебійного живлення; код - 31150000-2 Баласти для розрядних ламп чи трубок за ДК 021:2015  «Єдиний закупівельний словник»</t>
  </si>
  <si>
    <t xml:space="preserve">Придбання безпілотних літальних апаратів; код 34710000-7 Вертольоти, літаки, космічні та інші літальні апарати з двигуном за ДК 021:2015  «Єдиний закупівельний словник» </t>
  </si>
  <si>
    <t>Виготовлення проектно-кошторисної документації по об'єкту: «Поточний ремонт (укріплення фундаментів) Ангару військової частини А0742»; код  71240000-2 Архітектурні, інженерні та планувальні послуги за ДК 021:2015 «Єдиний закупівельний словник»</t>
  </si>
  <si>
    <t>Виготовлення проектно-кошторисної документації по об'єкту: «Поточний ремонт (облаштування) споруди цивільного захисту (найпростіше укриття) за адресою пл.Привокзальна, 2а/1. Коригування»; код 71240000-2 Архітектурні, інженерні та планувальні послуги за ДК 021:2015 «Єдиний закупівельний словник»</t>
  </si>
  <si>
    <t>Виготовлення проектно-кошторисної документації по об'єкту: «Поточний ремонт (облаштування) споруди цивільного захисту (протирадіаційне укриття №33783). Коригування»; код 71240000-2 Архітектурні, інженерні та планувальні послуги за ДК 021:2015 «Єдиний закупівельний словник»</t>
  </si>
  <si>
    <t>Маршрутизатори, комутатори; код - 32410000-0 Локальні мережі за ДК 021:2015  «Єдиний закупівельний словник»</t>
  </si>
  <si>
    <t>Конектори, вита пара; код - 32420000-3 Мережеве обладнання за ДК 021:2015 «Єдиний закупівельний словник»</t>
  </si>
  <si>
    <t>Поточний ремонт (укріплення фундаментів) Ангару військової частини А0742;  код 45450000-6 Інші завершальні будівельні роботи за ДК 021:2015 «Єдиний закупівельний словник»</t>
  </si>
  <si>
    <t xml:space="preserve">Здійснення технічного нагляду за виконанням поточного ремонту в рамках предмету закупівлі:  Поточний ремонт (укріплення фундаментів) Ангару військової частини А0742; код 71240000-2 Архітектурні, інженерні та планувальні послуги за ДК 021:2015 «Єдиний закупівельний словник»  </t>
  </si>
  <si>
    <t>Поточний ремонт (облаштування)  споруди цивільного захисту (найпростіше укриття) за адресою пл. Привокзальна, 2а/1. Коригування; код 45450000-6 Інші завершальні будівельні роботи за ДК 021:2015  «Єдиний закупівельний словник»</t>
  </si>
  <si>
    <t>Поточний ремонт (облаштування)  споруди цивільного захисту (протирадіаційне укриття №33783). Коригування; код 45450000-6 Інші завершальні будівельні роботи за ДК 021:2015  «Єдиний закупівельний словник»</t>
  </si>
  <si>
    <t>Здійснення технічного нагляду за виконанням поточного ремонту в рамках предмету закупівлі:  «Поточний ремонт (облаштування)  споруди цивільного захисту (найпростіше укриття) за адресою пл. Привокзальна, 2а/1. Коригування»; код 71240000-2 Архітектурні, інженерні та планувальні послуги за ДК 021:2015 «Єдиний закупівельний словник»</t>
  </si>
  <si>
    <t xml:space="preserve">Здійснення технічного нагляду за виконанням поточного ремонту в рамках предмету закупівлі:  «Поточний ремонт (облаштування)  споруди цивільного захисту (протирадіаційне укриття №33783). Коригування; код 71240000-2 Архітектурні, інженерні та планувальні послуги за ДК 021:2015 «Єдиний закупівельний словник»   </t>
  </si>
  <si>
    <t>Послуга з технічного обслуговування ІР-шифратора; код 50330000-7 - Послуги з технічного обслуговування телекомунікаційного обладнання за ДК 021:2015 «Єдиний закупівельний словник»</t>
  </si>
  <si>
    <t>Послуги з передавання даних і повідомлень, а саме: користування захищеним цифровим каналом з пропускною спроможністю 15 Мб/с між управлінням «Центром надання адміністративних послуг» Коломийської міської ради та центром обробки даних Державної міграційної служби України з використанням мережі Національної системи конфіденційного зв’язку; код - 64210000-1 Послуги телефонного зв’язку та передачі даних за ДК 021:2015 «Єдиний закупівельний словник»</t>
  </si>
  <si>
    <t>Бензин А-95, Дизельне паливо;  код 09130000-9 Нафта і дистиляти  за ДК 021:2015 «Єдиного закупівельного словника».:Бензин А-95, Дизельне паливо;  код 09130000-9 Нафта і дистиляти  за ДК 021:2015 «Єдиного закупівельного словника».</t>
  </si>
  <si>
    <t xml:space="preserve">Електрична енергія; код 09310000-5 Електрична енергія за ДК 021:2015 «Єдиний закупівельний словник»  </t>
  </si>
  <si>
    <t>ПРОЦЬ ІГОР ЗІНОВІЙОВИЧ</t>
  </si>
  <si>
    <t>ТОВ "ТЕЛЕРАДІОКОМПАНІЯ РАІ"</t>
  </si>
  <si>
    <t>ТРЕМТЯЧИЙ БОГДАН ІВАНОВИЧ</t>
  </si>
  <si>
    <t>Довірак Олександр Ігорович</t>
  </si>
  <si>
    <t>ДОБРОВІЛЬНЕ ОБ'ЄДНАННЯ ОРГАНІВ МІСЦЕВОГО САМОВРЯДУВАННЯ-АСОЦІАЦІЯ "ЕНЕРГОЕФЕКТИВНІ МІСТА УКРАЇНИ"</t>
  </si>
  <si>
    <t>ПРИВАТНЕ ПІДПРИЄМСТВО ДИЗАЙН - СТУДІЯ "ПАРАПЛАН"</t>
  </si>
  <si>
    <t>КОМУНАЛЬНЕ ПІДПРИЄМСТВО "ЗЕЛЕНОСВІТ"</t>
  </si>
  <si>
    <t>АКЦІОНЕРНЕ ТОВАРИСТВО "УКРПОШТА"</t>
  </si>
  <si>
    <t>ФОП "ХАРІВ ЛЮБОМИР МИРОСЛАВОВИЧ"</t>
  </si>
  <si>
    <t>ТОВАРИСТВО З ОБМЕЖЕНОЮ ВІДПОВІДАЛЬНІСТЮ "ЄВРО КЛІК"</t>
  </si>
  <si>
    <t>ВИГНАНЕЦЬ СВІТЛАНА ОЛЕКСІЇВНА</t>
  </si>
  <si>
    <t>ВІТРАК АНДРІЙ БОГДАНОВИЧ</t>
  </si>
  <si>
    <t>ДЕРЖАВНЕ ПІДПРИЄМСТВО "УКРАЇНСЬКІ СПЕЦІАЛЬНІ СИСТЕМИ"</t>
  </si>
  <si>
    <t>ТОВ "Ромус-Поліграф"</t>
  </si>
  <si>
    <t>ТОВАРИСТВО З ОБМЕЖЕНОЮ ВІДПОВІДАЛЬНІСТЮ "ПРИКАРПАТЕНЕРГОТРЕЙД"</t>
  </si>
  <si>
    <r>
      <t xml:space="preserve">2800  </t>
    </r>
    <r>
      <rPr>
        <sz val="11"/>
        <color rgb="FF040C28"/>
        <rFont val="Times New Roman"/>
        <family val="1"/>
        <charset val="204"/>
      </rPr>
      <t>Інші поточні видатки</t>
    </r>
  </si>
  <si>
    <t>2230  Продукти харчування</t>
  </si>
  <si>
    <t>3110  Придбання обладнання і предметів довгострокового користування</t>
  </si>
  <si>
    <t>UA-2023-02-07-016590-a, Додаткова угода про внесення змін до Договору підряду №51 від 03.02.2023 року</t>
  </si>
  <si>
    <t>UA-2023-03-30-008814-a,  Додаткова угода про внесення змін до Договору підряду №108 від 23.03.2023 року</t>
  </si>
  <si>
    <t>ОСББ "Вишиванка 2017"</t>
  </si>
  <si>
    <t>ОСББ "Петлюри 42"</t>
  </si>
  <si>
    <t>UA-2023-01-11-008781-a,  Додаткова угода до Договору №31 від 30.01.2023 року</t>
  </si>
  <si>
    <t>UA-2023-02-07-016625-a,  Додаткова угода про внесення змін до Договору №52 від 03.02.2023 року</t>
  </si>
  <si>
    <t>UA-2023-03-30-008827-a,  Додаткова угода про внесення змін до Договору №119 від 28.04.2023 року</t>
  </si>
  <si>
    <t>UA-2023-03-02-011531-a,   Додаткова угода до Договору №81 від 24.02.2023 року</t>
  </si>
  <si>
    <t>UA-2023-03-02-011417-a,  Додаткова угода до Договору №80 від 24.02.2023 року</t>
  </si>
  <si>
    <t>Додатковий правочин про зміни і доповнення до Договору споживача про надання послуг з розподілу електричної енергії №260206 від 14.02.2019 року</t>
  </si>
  <si>
    <t xml:space="preserve">Конструкційні матеріали; код 44110000-4  Конструкційні матеріали за ДК 021:2015  «Єдиний закупівельний словник» </t>
  </si>
  <si>
    <t xml:space="preserve">Платформа роз, d 300/360 </t>
  </si>
  <si>
    <t>КОПИЛЬЦІВ ОЛЕНА ВАЛЕНТИНІВНА</t>
  </si>
  <si>
    <t>2772214689</t>
  </si>
  <si>
    <t xml:space="preserve">Радіатори і котли для систем центрального опалення та їх деталі; код 44620000-2 Радіатори і котли для систем центрального опалення та їх деталі за ДК 021:2015  «Єдиний закупівельний словник» </t>
  </si>
  <si>
    <t>Радіатор стальний TERRA 22-500/800; Радіатор стальний TERRA 22-500/1000; Радіатор стальний TERRA 22-500/1200; Радіатор стальний TERRA 22-500/1400; Радіатор стальний TERRA 22-500/1600; Радіатор стальний TERRA 22-500/1800; Кран радіаторний кутовий Giacomini ½; Бак  розширювальний 50л біл. Aguapress</t>
  </si>
  <si>
    <t>44620000-2 Радіатори і котли для систем центрального опалення та їх деталі</t>
  </si>
  <si>
    <t xml:space="preserve">Дверні блоки;  код   44220000-8     Столярні вироби за ДК 021:2015  «Єдиний закупівельний словник» </t>
  </si>
  <si>
    <t>Дверні блоки тип 1 з рамою (1000мм*2500мм); Дверні блоки тип 2 двосекційні(1700мм*2500мм); Дверні блоки тип 3 двосекційні(1500мм*3300мм); Дверні блоки тип 4 двосекційні(2250мм*2200мм)</t>
  </si>
  <si>
    <t>44220000-8 Столярні вироби</t>
  </si>
  <si>
    <t>Вітрак Любов Василівна</t>
  </si>
  <si>
    <t>3326013228</t>
  </si>
  <si>
    <t xml:space="preserve">Магістралі, трубопроводи, труби, обсадні труби, тюбінги та супутні вироби; код 44160000-9 Магістралі, трубопроводи, труби, обсадні труби, тюбінги та супутні вироби за ДК 021:2015  «Єдиний закупівельний словник» </t>
  </si>
  <si>
    <t>Лійка нерж d 300 1мм Master Pipe; Трійник н\н д.300*87" 1мм Master Pipe; Конус н\н d  300/360 Master Pipe; Труба н\н d 300 0,5м 1мм Master Pipe; Труба н\оц  d 300*  1мм Master Pipe; Хомут обжимний d 360 Master Pipe; Перехід н. d 400+/300+1мм Master Pipe</t>
  </si>
  <si>
    <t>192</t>
  </si>
  <si>
    <t>Багатофункціональні пристрої (БФП); код 30230000-0 Комп’ютерне обладнання за ДК 021:2015 «Єдиний закупівельний словник»</t>
  </si>
  <si>
    <t>БФП HP LaserJet Pro M428dw (W1A28A)</t>
  </si>
  <si>
    <t>30230000-0 Комп’ютерне обладнання</t>
  </si>
  <si>
    <t>ТОВАРИСТВО З ОБМЕЖЕНОЮ ВІДПОВІДАЛЬНІСТЮ "ПрофТехноТрейд"</t>
  </si>
  <si>
    <t>44019424</t>
  </si>
  <si>
    <t>196</t>
  </si>
  <si>
    <t xml:space="preserve">Придбання стелажів; код 39150000-8 Меблі та приспособи різні за ДК 021:2015 "Єдиний закупівельний словник"   </t>
  </si>
  <si>
    <t>Стелаж металевий фарбований МСП-5   2100х950х400мм,  6 полиць,   білий</t>
  </si>
  <si>
    <t>39150000-8 Меблі та приспособи різні</t>
  </si>
  <si>
    <t>32490244</t>
  </si>
  <si>
    <t>197</t>
  </si>
  <si>
    <t xml:space="preserve">Придбання піску; код 14210000-6 Гравій, пісок, щебінь і наповнювачі за ДК 021:2015  «Єдиний закупівельний словник» </t>
  </si>
  <si>
    <t>Пісок білий</t>
  </si>
  <si>
    <t>ПРИВАТНЕ ПІДПРИЄМСТВО "БАВАРІЯ РП"</t>
  </si>
  <si>
    <t>35896859</t>
  </si>
  <si>
    <t>198</t>
  </si>
  <si>
    <t>Виготовлення проектно-кошторисної документації по об'єкту: «Поточний ремонт приміщення Ангар-лабораторії №2 військової частини А0742»; 71240000-2 Архітектурні, інженерні та планувальні послуги за ДК 021:2015 «Єдиний закупівельний словник»</t>
  </si>
  <si>
    <t>Виготовлення проектно-кошторисної документації по об'єкту: «Поточний ремонт приміщення Ангар-лабораторії №2 військової частини А0742»</t>
  </si>
  <si>
    <t>44649444</t>
  </si>
  <si>
    <t>204</t>
  </si>
  <si>
    <t>Цемент IF CEM M-500 ПЦ ІІ/А-В 500Р-Н   50 кг</t>
  </si>
  <si>
    <t>ТКАЧУК ЛЮБОМИР ЛЮБОМИРОВИЧ</t>
  </si>
  <si>
    <t>2908913438</t>
  </si>
  <si>
    <t>201</t>
  </si>
  <si>
    <t>Виготовлення проектно-кошторисної документації по об'єкту: «Поточний ремонт зовнішньої каналізації будинку висотного спорядження військової частини А0742»</t>
  </si>
  <si>
    <t>206</t>
  </si>
  <si>
    <t>Сітка "Армопояс" ВР-1  100*100мм    2,50мм/2,50мм      1,00м/2,00м  (2,20мм/2,20мм  (9х18 прутків); Сітка "Армопояс" ВР-1  150*150мм    3,00мм/3,00мм      1,00м/2,00м  (2,50мм/2,50мм  (6х12 прутків)</t>
  </si>
  <si>
    <t>ТОВАРИСТВО З ОБМЕЖЕНОЮ ВІДПОВІДАЛЬНІСТЮ "СІТКА ЗАХІД УКРАЇНА"</t>
  </si>
  <si>
    <t>42756975</t>
  </si>
  <si>
    <t>200</t>
  </si>
  <si>
    <t>Виготовлення проектно-кошторисної документації по об'єкту: «Поточний ремонт покрівлі будівлі КПП військової частини А0742»; 71240000-2 Архітектурні, інженерні та планувальні послуги за ДК 021:2015 «Єдиний закупівельний словник»</t>
  </si>
  <si>
    <t>Виготовлення проектно-кошторисної документації по об'єкту: «Поточний ремонт покрівлі будівлі КПП військової частини А0742»</t>
  </si>
  <si>
    <t>207</t>
  </si>
  <si>
    <t xml:space="preserve">Виготовлення проектно-кошторисної документації по об'єкту: «Електромонтажні роботи  в приміщенні ЗБУ №10  військової частини А0742»; 71240000-2 Архітектурні, інженерні та планувальні послуги за ДК 021:2015 «Єдиний закупівельний словник»  </t>
  </si>
  <si>
    <t>Виготовлення проектно-кошторисної документації по об'єкту: «Електромонтажні роботи  в приміщенні ЗБУ №10  військової частини А0742»</t>
  </si>
  <si>
    <t>205</t>
  </si>
  <si>
    <t>Виготовлення проектно-кошторисної документації по об'єкту: «Поточний ремонт покрівлі будівлі АТЗ військової частини А0742»; 71240000-2 Архітектурні, інженерні та планувальні послуги за ДК 021:2015 «Єдиний закупівельний словник»</t>
  </si>
  <si>
    <t>Виготовлення проектно-кошторисної документації по об'єкту: «Поточний ремонт покрівлі будівлі АТЗ військової частини А0742»</t>
  </si>
  <si>
    <t>208</t>
  </si>
  <si>
    <t>Пінопласт EPS-90 ГРАФІТ</t>
  </si>
  <si>
    <t>ФОП Мацигін Юрій Васильович</t>
  </si>
  <si>
    <t>2398108158</t>
  </si>
  <si>
    <t>199</t>
  </si>
  <si>
    <t>Настільні ігри; код  37460000-0  Ігри на влучність, настільні ігри та інвентар за ДК 021:2015 «Єдиний закупівельний словник»</t>
  </si>
  <si>
    <t>Настільна гра "Футбол"; Хокей ZC3016A дерев'яний, , на ніжках, бат., кор., 50,5-31-9,5 см.; Гра Вікторина Україна ш.к.4820130620994</t>
  </si>
  <si>
    <t>37460000-0 Ігри на влучність, настільні ігри та інвентар</t>
  </si>
  <si>
    <t>СЕМЕНЧУК БОГДАН ВАСИЛЬОВИЧ</t>
  </si>
  <si>
    <t>3420110598</t>
  </si>
  <si>
    <t>211</t>
  </si>
  <si>
    <t xml:space="preserve">Прапори; код  35820000-8  Допоміжне екіпірування  за ДК 021:2015 «Єдиний закупівельний словник»  </t>
  </si>
  <si>
    <t>Прапор державний синьо - жовтий; Прапор стандартний червоно - чорний</t>
  </si>
  <si>
    <t>35820000-8 Допоміжне екіпірування</t>
  </si>
  <si>
    <t>ЖИБАК ОКСАНА ДМИТРІВНА</t>
  </si>
  <si>
    <t>2373411924</t>
  </si>
  <si>
    <t>220</t>
  </si>
  <si>
    <t xml:space="preserve">Придбання віконних та дверних блоків; код 44220000-8 Столярні вироби за ДК 021:2015  «Єдиний закупівельний словник» </t>
  </si>
  <si>
    <t>Віконний блок ПВХ (з двохкамерним енергоефективним склопакетом) 1670*1770; Віконний блок ПВХ (з двохкамерним енергоефективним склопакетом) 1670*1690; Дверний блок ПВХ 1610*2370; Дверний блок ПВХ 950*1950; Дверний блок ПВХ 1340*2300; Дверний блок ПВХ 960*2300; Дверний блок ПВХ 980*2300; Дверний блок ПВХ 1360*2300; Дверний блок ПВХ 950*2300; Дверний блок ПВХ 1020*1960; Дверний блок ПВХ 1030*1930; Віконний блок ПВХ (з двохкамерним енергоефективним склопакетом) 11950*1040; Дверний блок ПВХ  1170*1970; Віконний блок ПВХ (з двохкамерним енергоефективним склопакетом) 2320*1000; Віконний блок ПВХ (з двохкамерним енергоефективним склопакетом) 3470*1000; Віконний блок ПВХ (з двохкамерним енергоефективним склопакетом) 5560*1000; Віконний блок ПВХ (з двохкамерним енергоефективним склопакетом) 5560*1001; Дверний блок ПВХ 1280*2300; Дверний блок ПВХ  940*2060; Дверний блок ПВХ  950*2060; Дверний блок ПВХ  920*2050; Дверний блок ПВХ  920*2000; Дверний блок ПВХ  820*1970; Дверний блок ПВХ  1100*2190; Дверний блок ПВХ  980*2190; Дверний блок ПВХ  960*2160; Віконний блок ПВХ (з двохкамерним енергоефективним склопакетом)  980*1330; Віконний блок ПВХ (з двохкамерним енергоефективним склопакетом)  1220*1330; Дверний блок ПВХ  1000*2100; Дверний блок ПВХ  880*2000; Віконний блок ПВХ (з двохкамерним енергоефективним склопакетом) 780*1150; Віконний блок ПВХ (з двохкамерним енергоефективним склопакетом) 950*1110; Віконний блок ПВХ (з двохкамерним енергоефективним склопакетом) 2540*1120; Дверний блок ПВХ  950*1850; Дверний блок ПВХ  970*1970; Дверний блок ПВХ  980*1980; Дверний блок ПВХ  840*1980; Дверний блок ПВХ 940*1940; Дверний блок ПВХ 1420*2170; Дверний блок ПВХ 940*2000; Дверний блок ПВХ 1460*1900; Дверний блок ПВХ 940*2080; Дверний блок ПВХ 960*2060; Дверний блок ПВХ 1000*2040; Дверний блок ПВХ 980*2040; Дверний блок ПВХ 930*2050; Дверний блок ПВХ 930*2000; Дверний блок ПВХ   1500*2040; Дверний блок ПВХ   950*2040; Дверний блок ПВХ   950*2000; Дверний блок ПВХ   950*2050; Дверний блок ПВХ   1450*1990; Дверний блок ПВХ   960*2100; Дверний блок ПВХ   950*2050; Дверний блок ПВХ   1470*1900; Дверний блок ПВХ   960*2040; Дверний блок ПВХ   950*1900; Дверний блок ПВХ  1460*2000; Дверний блок ПВХ  940*1920; Дверний блок ПВХ  940*2020; Дверний блок ПВХ  960*2000; Дверний блок ПВХ  1450*1980; Дверний блок ПВХ  970*2000; Дверний блок ПВХ  950*2100; Дверний блок ПВХ  980*2120; Дверний блок ПВХ  1140*2120; Дверний блок ПВХ  1460*1960; Дверний блок ПВХ  960*2080; Дверний блок ПВХ  960*2130; Дверний блок ПВХ  1120*2080; Дверний блок ПВХ  1000*2000; Дверний блок ПВХ  1460*1990; Дверний блок ПВХ  950*2020; Дверний блок ПВХ  840*1990; Дверний блок ПВХ  960*2070; Дверний блок ПВХ  1450*2040; Дверний блок ПВХ  950*2050; Дверний блок ПВХ  850*2050; Дверний блок ПВХ  940*2050; Дверний блок ПВХ  960*2050; Дверний блок ПВХ  940*2030; Дверний блок ПВХ  1450*2120; Віконний блок ПВХ (з двохкамерним енергоефективним склопакетом) 1460*1140; Віконний блок ПВХ (з двохкамерним енергоефективним склопакетом) 1560*1670; Підвіконня внутрішнє 200 ПВХ ; Підвіконня внутрішнє 250 ПВХ ; Підвіконня внутрішнє 300 ПВХ ; Підвіконня внутрішнє 400 ПВХ ; Відлив стальний зовнішній 130 мм; Відлив стальний зовнішній 180 мм; Відлив стальний зовнішній 200 мм</t>
  </si>
  <si>
    <t>КОЛОТИЛО ЛЮДМИЛА ВАСИЛІВНА</t>
  </si>
  <si>
    <t>3068608743</t>
  </si>
  <si>
    <t>225</t>
  </si>
  <si>
    <t>Печатки, штампи; код  22520000-1  Обладнання для сухого витравлювання  за ДК 021:2015 «Єдиний закупівельний словник»</t>
  </si>
  <si>
    <t>Штамп механічний; Печатка</t>
  </si>
  <si>
    <t>22520000-1 Обладнання для сухого витравлювання</t>
  </si>
  <si>
    <t>РОМАНЮК ЮРІЙ ДМИТРОВИЧ</t>
  </si>
  <si>
    <t>2422003476</t>
  </si>
  <si>
    <t>221</t>
  </si>
  <si>
    <t>Прапор з символікою 95х60см з люверсами</t>
  </si>
  <si>
    <t>2324303456</t>
  </si>
  <si>
    <t>223</t>
  </si>
  <si>
    <t>Килимки; код  39530000-6	  Килимові покриття, килимки та килими за ДК 021:2015 «Єдиний закупівельний словник»</t>
  </si>
  <si>
    <t>Килимок-пазл "Змійка"; Килимок-пазл BT-T-0234 EVA дорога 4види, 4шт в кульку 60*1*60</t>
  </si>
  <si>
    <t>39530000-6 Килимові покриття, килимки та килими</t>
  </si>
  <si>
    <t>217</t>
  </si>
  <si>
    <t xml:space="preserve"> Іграшки; код  37520000-9 Іграшки за ДК 021:2015 «Єдиний закупівельний словник»</t>
  </si>
  <si>
    <t>Водяний пістолет KM991 р.20*18*9см; Візок для ляльки сидячий 886 в кульку; Візок металевий для ляльки 9309L зимовий, 4 подвійних колеса, в кульку</t>
  </si>
  <si>
    <t>37520000-9 Іграшки</t>
  </si>
  <si>
    <t>210</t>
  </si>
  <si>
    <t xml:space="preserve">Замок, серцевини; код  44520000-1  Замки, ключі та петлі за ДК 021:2015 «Єдиний закупівельний словник»  </t>
  </si>
  <si>
    <t>Серцевина; Замок врізний</t>
  </si>
  <si>
    <t>44520000-1 Замки, ключі та петлі</t>
  </si>
  <si>
    <t>МИХАЛУШКО НАТАЛІЯ ІВАНІВНА</t>
  </si>
  <si>
    <t>2129709486</t>
  </si>
  <si>
    <t>222</t>
  </si>
  <si>
    <t>Придбання та виготовлення запасних частин до розсувних воріт;  код 34910000-9 Гужові чи ручні вози, інші транспортні засоби з немеханічним приводом, багажні вози та різні запасні частини за ДК 021:2015  «Єдиний закупівельний словник»</t>
  </si>
  <si>
    <t>Важелі редуктора до розсувних воріт ЗБУ №9 та №12; Провідна вал - шестерня ЗБУ №10</t>
  </si>
  <si>
    <t>34910000-9 Гужові чи ручні вози, інші транспортні засоби з немеханічним приводом, багажні вози та різні запасні частини</t>
  </si>
  <si>
    <t>234</t>
  </si>
  <si>
    <t>Акварель; код  44810000-1  Фарби за ДК 021:2015 «Єдиний закупівельний словник»</t>
  </si>
  <si>
    <t>Акварель 24 кол., б/п, пластик, Творчість (12) ш.к.4820219213048</t>
  </si>
  <si>
    <t>215</t>
  </si>
  <si>
    <t xml:space="preserve">Приладдя для рукоділля; код  37810000-9  Приладдя для рукоділля за ДК 021:2015 «Єдиний закупівельний словник» </t>
  </si>
  <si>
    <t>Алмазна картина HX208 "Пухнастики", розміром 30х40 см; Алмазна мозаїка в рулоні  Ваза  з квітами на підставці  30х40 см шк.6970277928137; Набір для творчості зі стразами (наліпка) "Веселий песик "11*16 см 178757; Набір для творчості зі стразами на картоні   5D "Eліc" 21*25см</t>
  </si>
  <si>
    <t>37810000-9 Приладдя для рукоділля</t>
  </si>
  <si>
    <t>212</t>
  </si>
  <si>
    <t xml:space="preserve">Приладдя для образотворчого мистецтва; код  37820000-2 Приладдя для  образотворчого мистецтва за ДК 021:2015 «Єдиний закупівельний словник» </t>
  </si>
  <si>
    <t>Крейда YES кольорова, кругла, 100 шт "Full power"; Набір із 5-ти пензлів синтетика K21-333 шк.4063276085603; Олiвцi  кольорові "Class" 12 кол. 1612 ш.к.8591662161212; Килимок для малювання водою "Water Magic"; Картина по номерах " Награвся", 40*50; Набір для розпису по номерах  Їжачок в кепочці Strateg розміром 30х30 см (ES076); Килимок 1809 для малювання водою, 73-51 см., динозавр, трафарет, кор., 30-21-5 см.</t>
  </si>
  <si>
    <t>37820000-2 Приладдя для образотворчого мистецтва</t>
  </si>
  <si>
    <t>213</t>
  </si>
  <si>
    <t xml:space="preserve"> Вітальні адреси; код  22320000-9  Вітальні листівки  за ДК 021:2015 «Єдиний закупівельний словник» </t>
  </si>
  <si>
    <t>Вітальна адреса А4 (метал золото на плакетці)</t>
  </si>
  <si>
    <t>224</t>
  </si>
  <si>
    <t>Крейда; код  44920000-5  Вапняк, гіпс і крейда за ДК 021:2015 «Єдиний закупівельний словник»</t>
  </si>
  <si>
    <t>Крейда  бiла,100шт."К-I-N" 111502   (1.2*1.2*10см) ш.к.8593540000040</t>
  </si>
  <si>
    <t>216</t>
  </si>
  <si>
    <t>Фурнітура різна; код  39290000-1 Фурнітура різна за ДК 021:2015 «Єдиний закупівельний словник»</t>
  </si>
  <si>
    <t>Лист вітальний Грамота Подяка Диплом /Апельсин/ 01-011  ш.к.4820078280847; Рамка 20*30см. пласт. №1 ш.к.4825500172295</t>
  </si>
  <si>
    <t>39290000-1 Фурнітура різна</t>
  </si>
  <si>
    <t>214</t>
  </si>
  <si>
    <t>Пакети; код 18930000-7 Мішки та пакети за ДК 021:2015 «Єдиний закупівельний словник»</t>
  </si>
  <si>
    <t>Пакет пластиковий подарунковий 32х27см, Peachy Mood 03; Пакет подарунковий 32,,ш.к.4820121150233</t>
  </si>
  <si>
    <t>219</t>
  </si>
  <si>
    <t xml:space="preserve">М’яч футбольний; код  37450000-7  Спортивний інвентар для полів і кортів за ДК 021:2015 «Єдиний закупівельний словник» </t>
  </si>
  <si>
    <t>М'яч футбольний "Extreme Motion №5", чорний</t>
  </si>
  <si>
    <t>209</t>
  </si>
  <si>
    <t xml:space="preserve">Килимок для йоги; код  37440000-4 Інвентар для фітнесу за ДК 021:2015 «Єдиний закупівельний словник» </t>
  </si>
  <si>
    <t>Килимок для йоги, 4 мм (жовтий) C36547 шк.6515400155292</t>
  </si>
  <si>
    <t>218</t>
  </si>
  <si>
    <t xml:space="preserve">Поточний ремонт покрівлі будівлі АТЗ військової частини А0742;  код 45260000-7 Покрівельні роботи та інші спеціалізовані будівельні роботи за ДК 021:2015 «Єдиний закупівельний словник» </t>
  </si>
  <si>
    <t>Поточний ремонт покрівлі будівлі АТЗ військової частини А0742</t>
  </si>
  <si>
    <t>45260000-7 Покрівельні роботи та інші спеціалізовані будівельні роботи</t>
  </si>
  <si>
    <t>ПРИВАТНА ФІРМА "ВІТЮР"</t>
  </si>
  <si>
    <t>22175088</t>
  </si>
  <si>
    <t>228</t>
  </si>
  <si>
    <t xml:space="preserve">Поточний ремонт покрівлі будівлі КПП військової частини А0742;  код 45260000-7 Покрівельні роботи та інші спеціалізовані будівельні роботи за ДК 021:2015 «Єдиний закупівельний словник» </t>
  </si>
  <si>
    <t>Поточний ремонт покрівлі будівлі КПП військової частини А0742</t>
  </si>
  <si>
    <t>229</t>
  </si>
  <si>
    <t xml:space="preserve">Здійснення технічного нагляду за виконанням поточного ремонту в рамках предмету закупівлі:  Поточний ремонт покрівлі будівлі КПП військової частини А0742; код 71240000-2 Архітектурні, інженерні та планувальні послуги за ДК 021:2015 «Єдиний закупівельний словник» </t>
  </si>
  <si>
    <t>Здійснення технічного нагляду за виконанням поточного ремонту в рамках предмету закупівлі:  Поточний ремонт покрівлі будівлі КПП військової частини А0742</t>
  </si>
  <si>
    <t>Фізична особа - підприємець Фількин Олександр Вікторович</t>
  </si>
  <si>
    <t>3176216558</t>
  </si>
  <si>
    <t>232</t>
  </si>
  <si>
    <t xml:space="preserve">Здійснення технічного нагляду за виконанням поточного ремонту в рамках предмету закупівлі:  Поточний ремонт покрівлі будівлі АТЗ військової частини А0742; код 71240000-2 Архітектурні, інженерні та планувальні послуги за ДК 021:2015 «Єдиний закупівельний словник» </t>
  </si>
  <si>
    <t>Здійснення технічного нагляду за виконанням поточного ремонту в рамках предмету закупівлі:  Поточний ремонт покрівлі будівлі АТЗ військової частини А0742</t>
  </si>
  <si>
    <t>231</t>
  </si>
  <si>
    <t xml:space="preserve">Здійснення технічного нагляду за виконанням електромонтажних робіт в рамках предмету закупівлі:  Електромонтажні роботи  в приміщенні ЗБУ №10  військової частини А0742; код 71240000-2 Архітектурні, інженерні та планувальні послуги за ДК 021:2015 «Єдиний закупівельний словник» 
</t>
  </si>
  <si>
    <t>Здійснення технічного нагляду за виконанням електромонтажних робіт в рамках предмету закупівлі:  Електромонтажні роботи  в приміщенні ЗБУ №10  військової частини А0742</t>
  </si>
  <si>
    <t>233</t>
  </si>
  <si>
    <t xml:space="preserve">Електромонтажні роботи  в приміщенні ЗБУ №10  військової частини А0742; код 45310000-3 Електромонтажні роботи за ДК 021:2015  «Єдиний закупівельний словник» </t>
  </si>
  <si>
    <t>Електромонтажні роботи  в приміщенні ЗБУ №10  військової частини А0742</t>
  </si>
  <si>
    <t>2984509254</t>
  </si>
  <si>
    <t>230</t>
  </si>
  <si>
    <t xml:space="preserve">Здійснення технічного нагляду за виконанням поточного ремонту в рамках предмету закупівлі:  Поточний ремонт зовнішньої каналізації будинку висотного спорядження військової частини А0742; код 71240000-2 Архітектурні, інженерні та планувальні послуги за ДК 021:2015 «Єдиний закупівельний словник» </t>
  </si>
  <si>
    <t>Здійснення технічного нагляду за виконанням поточного ремонту в рамках предмету закупівлі:  Поточний ремонт зовнішньої каналізації будинку висотного спорядження військової частини А0742</t>
  </si>
  <si>
    <t>227</t>
  </si>
  <si>
    <t xml:space="preserve">Поточний ремонт зовнішньої каналізації будинку висотного спорядження військової частини А0742;  код 45230000-8 Будівництво трубопроводів, ліній зв’язку та електропередач, шосе, доріг, аеродромів і залізничних доріг; вирівнювання поверхонь за ДК 021:2015 «Єдиний закупівельний словник» </t>
  </si>
  <si>
    <t>Поточний ремонт зовнішньої каналізації будинку висотного спорядження військової частини А0742</t>
  </si>
  <si>
    <t>226</t>
  </si>
  <si>
    <t>Послуги технічного забезпечення звукопідсилювальною та іншою апаратурою, додатковим обладнанням; код  92370000-5 Послуги звукооператорів за ДК 021:2015 «Єдиний закупівельний словник»</t>
  </si>
  <si>
    <t>Послуги технічного забезпечення звукопідсилювальною та іншою апаратурою, додатковим обладнанням</t>
  </si>
  <si>
    <t>92370000-5 Послуги звукооператорів</t>
  </si>
  <si>
    <t>ДАНИЛЬЧУК МИКОЛА АНДРІЙОВИЧ</t>
  </si>
  <si>
    <t>3077403474</t>
  </si>
  <si>
    <t>236</t>
  </si>
  <si>
    <t xml:space="preserve">Придбання швидкозшивачів; код 22850000-3 Швидкозшивачі та супутнє приладдя за ДК 021:2015 «Єдиний закупівельний словник» </t>
  </si>
  <si>
    <t xml:space="preserve">Швидкозшивач </t>
  </si>
  <si>
    <t>237</t>
  </si>
  <si>
    <t xml:space="preserve">Послуги з проведення навчання з питань здійснення публічних закупівель у період дії воєнного стану; код  80510000-2  Послуги з професійної підготовки спеціалістів за ДК 021:2015 «Єдиний закупівельний словник»  </t>
  </si>
  <si>
    <t>Послуги з проведення навчання з питань здійснення публічних закупівель у період дії воєнного стану</t>
  </si>
  <si>
    <t>80510000-2 Послуги з професійної підготовки спеціалістів</t>
  </si>
  <si>
    <t>ЗАЄЦЬ НАТАЛІЯ МИКОЛАЇВНА</t>
  </si>
  <si>
    <t>2970200889</t>
  </si>
  <si>
    <t>235</t>
  </si>
  <si>
    <t xml:space="preserve">Здійснення технічного нагляду за виконанням електромонтажних робіт в рамках предмету закупівлі:  Поточний ремонт приміщення Ангар-лабораторії №2 військової частини А0742; код 71240000-2 Архітектурні, інженерні та планувальні послуги за ДК 021:2015 «Єдиний закупівельний словник» </t>
  </si>
  <si>
    <t>Здійснення технічного нагляду за виконанням електромонтажних робіт в рамках предмету закупівлі:  Поточний ремонт приміщення Ангар-лабораторії №2 військової частини А0742</t>
  </si>
  <si>
    <t>Фізична особа-підприємець Фількин Олександр Вікторович</t>
  </si>
  <si>
    <t>239</t>
  </si>
  <si>
    <t xml:space="preserve">Поточний ремонт приміщення Ангар-лабораторії №2 військової частини А0742;  код 45450000-6 Інші завершальні будівельні роботи за ДК 021:2015 «Єдиний закупівельний словник» </t>
  </si>
  <si>
    <t>Поточний ремонт приміщення Ангар-лабораторії №2 військової частини А0742</t>
  </si>
  <si>
    <t>238</t>
  </si>
  <si>
    <t>Придбання будівельних матеріалів; код 44110000-4 Конструкційні матеріали за ДК 021:2015  «Єдиний закупівельний словник»</t>
  </si>
  <si>
    <t>Бетон товарний М-300 Р3</t>
  </si>
  <si>
    <t>240</t>
  </si>
  <si>
    <t xml:space="preserve">Придбання тепловізійних приладів; код 38630000-0 Астрономічні та оптичні прилади за ДК 021:2015  «Єдиний закупівельний словник» </t>
  </si>
  <si>
    <t>Придбання тепловізійних приладів</t>
  </si>
  <si>
    <t>38630000-0 Астрономічні та оптичні прилади</t>
  </si>
  <si>
    <t>Олексієвець Дмитро Олегович</t>
  </si>
  <si>
    <t>2945310358</t>
  </si>
  <si>
    <t>244</t>
  </si>
  <si>
    <t xml:space="preserve">Придбання медалей;  код 18530000-3 Подарунки та нагороди за ДК 021:2015  «Єдиний закупівельний словник» 
</t>
  </si>
  <si>
    <t>Медаль "Незламним героям російсько - української війни" арт.ВТО_2022</t>
  </si>
  <si>
    <t>СОПОВА ГАЛИНА ПЕТРІВНА</t>
  </si>
  <si>
    <t>1934305488</t>
  </si>
  <si>
    <t>242</t>
  </si>
  <si>
    <t>243</t>
  </si>
  <si>
    <t>Яворський Тарас Орестович</t>
  </si>
  <si>
    <t>2613406257</t>
  </si>
  <si>
    <t>245</t>
  </si>
  <si>
    <t>Послуги з розроблення детального плану території в межах вул. Кошового К. Гордієнка та вул. Волоська в місті Коломия Коломийської міської територіальної громади Коломийського району Івано-Франківської області, код - 71410000-5 Послуги у сфері містобудування за ДК 021:2015 Єдиного закупівельного словника</t>
  </si>
  <si>
    <t>Послуги з розроблення детального плану території в межах вул. Кошового К. Гордієнка та вул. Волоська в місті Коломия Коломийської міської територіальної громади Коломийського району Івано-Франківської області</t>
  </si>
  <si>
    <t>71410000-5 Послуги у сфері містобудування</t>
  </si>
  <si>
    <t>ТОВАРИСТВО З ОБМЕЖЕНОЮ ВІДПОВІДАЛЬНІСТЮ "НАУКОВО-ДОСЛІДНИЙ ПРОЕКТНИЙ ЦЕНТР "ГЕОУРБАНІСТИКИ ТА ПЛАНУВАННЯ"</t>
  </si>
  <si>
    <t>33880983</t>
  </si>
  <si>
    <t>246</t>
  </si>
  <si>
    <t>Надання кейтерингових послуг; код 55520000-1 Кейтерингові послуги за ДК 021:2015  «Єдиний закупівельний словник»</t>
  </si>
  <si>
    <t>Надання кейтерингових послуг</t>
  </si>
  <si>
    <t>55520000-1 Кейтерингові послуги</t>
  </si>
  <si>
    <t>МАГАС ГАЛИНА ІВАНІВНА</t>
  </si>
  <si>
    <t>2201204841</t>
  </si>
  <si>
    <t>250</t>
  </si>
  <si>
    <t xml:space="preserve">Ворота гаражні; код 44220000-8 Столярні вироби за ДК 021:2015  «Єдиний закупівельний словник» </t>
  </si>
  <si>
    <t>Ворота гаражні зашиті проф листом (4200*4200) , з дверима; Ворота гаражні зашиті проф листом (2600*4300)</t>
  </si>
  <si>
    <t>248</t>
  </si>
  <si>
    <t>Теплоакумулюючий бак 3 0т GARANT; Бак розшир.200л Aguapress; Теплоакумулюючий бак+т.о  GARANT; Котел KRONAS UNIC NEW 250</t>
  </si>
  <si>
    <t>247</t>
  </si>
  <si>
    <t xml:space="preserve">Придбання форменого одягу; код 18110000-3 Формений одяг за ДК 021:2015  «Єдиний закупівельний словник» </t>
  </si>
  <si>
    <t>М-Тас штани "Agressor" Gen II Flex Black 30/30; М-Тас штани "Agressor" Gen II Flex Black 32/32; М-Тас штани "Agressor" Gen II Flex Black 32/34; М-Тас штани "Agressor" Gen II Flex Black 34/32; М-Тас штани "Agressor" Gen II Flex Black 34/34; М-Тас штани "Agressor" Gen II Flex Black 36/30; М-Тас штани "Agressor" Gen II Flex Black 36/34; М-Тас штани "Agressor" Gen II Flex Black 42/34; М-Тас штани "Agressor" Gen II Flex Black 42/36; М-Тас футболка розмір 56; М-Тас футболка розмір 58; М-Тас футболкаполо тактична розмір М; М-Тас футболкаполо тактична розмір L; М-Тас футболкаполо тактична розмір XL; М-Тас футболкаполо тактична розмір 2XL; М-Тас футболкаполо тактична розмір 3XL; М-Тас кросівки Summer Sport Black розмір 42; М-Тас кросівки Summer Sport Black розмір 43; М-Тас кросівки Summer Sport Black розмір 44; М-Тас кросівки Summer Sport Black розмір 45; М-Тас кросівки Summer Sport Black розмір 46</t>
  </si>
  <si>
    <t>18110000-3 Формений одяг</t>
  </si>
  <si>
    <t>Фізична особа-підприємець Дудяк Лілія Володимирівна</t>
  </si>
  <si>
    <t>2677603405</t>
  </si>
  <si>
    <t>249</t>
  </si>
  <si>
    <t>UA-2023-05-05-011166-a</t>
  </si>
  <si>
    <t>UA-2023-05-05-011091-a</t>
  </si>
  <si>
    <t>UA-2023-05-05-006411-a</t>
  </si>
  <si>
    <t>UA-2023-05-05-011699-a</t>
  </si>
  <si>
    <t>UA-2023-04-18-009235-a</t>
  </si>
  <si>
    <t>UA-2023-05-18-003676-a</t>
  </si>
  <si>
    <t>UA-2023-05-17-005088-a</t>
  </si>
  <si>
    <t>UA-2023-05-19-005434-a</t>
  </si>
  <si>
    <t>UA-2023-05-17-004176-a</t>
  </si>
  <si>
    <t>UA-2023-05-19-005824-a</t>
  </si>
  <si>
    <t>UA-2023-05-17-004985-a</t>
  </si>
  <si>
    <t>UA-2023-05-19-005753-a</t>
  </si>
  <si>
    <t>UA-2023-05-19-005534-a</t>
  </si>
  <si>
    <t>UA-2023-05-19-005658-a</t>
  </si>
  <si>
    <t>UA-2023-05-17-003841-a</t>
  </si>
  <si>
    <t>UA-2023-05-19-012326-a</t>
  </si>
  <si>
    <t>UA-2023-05-19-010763-a</t>
  </si>
  <si>
    <t>UA-2023-05-22-004806-a</t>
  </si>
  <si>
    <t>UA-2023-05-19-010689-a</t>
  </si>
  <si>
    <t>UA-2023-05-19-011351-a</t>
  </si>
  <si>
    <t>UA-2023-05-19-011940-a</t>
  </si>
  <si>
    <t>UA-2023-05-19-012349-a</t>
  </si>
  <si>
    <t>UA-2023-05-19-011041-a</t>
  </si>
  <si>
    <t>UA-2023-05-25-008401-a</t>
  </si>
  <si>
    <t>UA-2023-05-19-012155-a</t>
  </si>
  <si>
    <t>UA-2023-05-19-012274-a</t>
  </si>
  <si>
    <t>UA-2023-05-19-012241-a</t>
  </si>
  <si>
    <t>UA-2023-05-19-010893-a</t>
  </si>
  <si>
    <t>UA-2023-05-19-012109-a</t>
  </si>
  <si>
    <t>UA-2023-05-19-012185-a</t>
  </si>
  <si>
    <t>UA-2023-05-19-011268-a</t>
  </si>
  <si>
    <t>UA-2023-05-19-011777-a</t>
  </si>
  <si>
    <t>UA-2023-05-19-011584-a</t>
  </si>
  <si>
    <t>UA-2023-05-24-011927-a</t>
  </si>
  <si>
    <t>UA-2023-05-24-012524-a</t>
  </si>
  <si>
    <t>UA-2023-05-24-013332-a</t>
  </si>
  <si>
    <t>UA-2023-05-24-013179-a</t>
  </si>
  <si>
    <t>UA-2023-05-24-012775-a</t>
  </si>
  <si>
    <t>UA-2023-05-25-007725-a</t>
  </si>
  <si>
    <t>UA-2023-05-22-011841-a</t>
  </si>
  <si>
    <t>UA-2023-05-22-011720-a</t>
  </si>
  <si>
    <t>UA-2023-05-25-008814-a</t>
  </si>
  <si>
    <t>UA-2023-05-25-009099-a</t>
  </si>
  <si>
    <t>UA-2023-05-25-008524-a</t>
  </si>
  <si>
    <t>UA-2023-05-29-005730-a</t>
  </si>
  <si>
    <t>UA-2023-05-29-005626-a</t>
  </si>
  <si>
    <t>UA-2023-05-30-011753-a</t>
  </si>
  <si>
    <t>UA-2023-05-29-007204-a</t>
  </si>
  <si>
    <t>UA-2023-05-26-006600-a</t>
  </si>
  <si>
    <t>UA-2023-05-29-007119-a</t>
  </si>
  <si>
    <t>UA-2023-05-31-011661-a</t>
  </si>
  <si>
    <t>UA-2023-04-21-011380-a</t>
  </si>
  <si>
    <t>UA-2023-05-31-011634-a</t>
  </si>
  <si>
    <t>UA-2023-05-31-011622-a</t>
  </si>
  <si>
    <t>UA-2023-05-31-011653-a</t>
  </si>
  <si>
    <t>UA-2023-06-01-000368-a</t>
  </si>
  <si>
    <t>ВІТРАК ЛЮБОВ ВАСИЛІВНА</t>
  </si>
  <si>
    <t>UA-2023-03-30-008806-a Додаткова угрда про внесення змін до договору підряду №113 від 23.03.2023 року</t>
  </si>
  <si>
    <t>Додаткова угода до Договору банківського рахунку №2023 /КА/040-0011 від 24.02.2023</t>
  </si>
  <si>
    <t>Публічне акціонерне товариство Акціонерний Банк "Укргазбанк"</t>
  </si>
  <si>
    <t>UA-2023-05-01-008032-a Додаткова угода про внесення змін до Договору підряду №168 від 21.04.2023 року</t>
  </si>
  <si>
    <t>UA-2023-05-01-008941-a Додаткова угода про внесення змін до Договору про здійснення технічного нагляду у будівництві від 21.04.2023 року №170</t>
  </si>
  <si>
    <t>UA-2023-04-26-012659-a Додаткова угода про внесення змін до договору підряду №166 від 19.04.2023</t>
  </si>
  <si>
    <t>3110 Придбання обладнання і предметів довгострокового користування</t>
  </si>
  <si>
    <t>2281 Дослідження і розробки, окремі заходи розвитку по реалізації державних (регіональних) програм</t>
  </si>
  <si>
    <t>UA-2023-03-31-004242-a Додаткова угода про внесення змін до договору підряду №121 від 24.03.2023</t>
  </si>
  <si>
    <t>UA-2023-03-30-008860-a Додаткова угода про внесення змін до договору підряду №116 від 23.03.2023</t>
  </si>
  <si>
    <t>UA-2023-03-30-008833-a Додаткова угода про внесення змін до договору підряду №117 від 23.03.2023</t>
  </si>
  <si>
    <t>UA-2023-03-06-001969-a Додаткова угода про внесення измін до договору від 24.02.2023 року №82</t>
  </si>
  <si>
    <t>UA-2023-04-27-003544-a Додаткова угода про внесення змін до договору від 20.04.2023 року №167</t>
  </si>
  <si>
    <t>UA-2023-05-22-011720-a Додаткова угода про внесення змін до договору підряду №226 від 18.05.2023 року</t>
  </si>
  <si>
    <t>UA-2023-05-22-011841-a Додаткова угода про внесення змін до договору від 18.05.2023 року №227</t>
  </si>
  <si>
    <t>UA-2023-03-31-007554-a Додаткова угода про внесення змін до договору від 24.03.2023 року №124</t>
  </si>
  <si>
    <t>UA-2023-03-31-007675-a Додаткова угода про внесення змін до договору від 24.03.2023 року №125</t>
  </si>
  <si>
    <t>продовжено термін дії договору до 30.06.2023 року</t>
  </si>
  <si>
    <t>Комунальне підприємство "Зеленосвіт"</t>
  </si>
  <si>
    <t>Проведення земляних робіт(для прокладання спеціального кабелю) на території військової частини А0742</t>
  </si>
  <si>
    <t>Проведення земляних робіт (для прокладання спеціального кабелю зв’язку) на території військової частини А0742; код 45110000-1- Руйнування та знесення будівель і земляні роботи за ДК 021:2015 «Єдиний закупівельний словник»</t>
  </si>
  <si>
    <t>UA-2023-06-06-007483-a</t>
  </si>
  <si>
    <t>45110000-1                                                  Руйнування та знесення будівель і земляні роботи</t>
  </si>
  <si>
    <t>ГАЄВА СВІТЛАНА МИХАЙЛІВНА</t>
  </si>
  <si>
    <t>55520000-1      Кейтерингові послуги</t>
  </si>
  <si>
    <t>UA-2023-06-06-007135-a</t>
  </si>
  <si>
    <t>Придання блокнотів</t>
  </si>
  <si>
    <t>Придбання блокнотів; код 22810000-1 Паперові чи картонні реєстраційні журнали за ДК 021:2015 «Єдиний закупівельний словник»</t>
  </si>
  <si>
    <t>UA-2023-06-06-006927-a</t>
  </si>
  <si>
    <t xml:space="preserve">22810000-1          Паперові чи картонні реєстраційні журнали </t>
  </si>
  <si>
    <t>Інформаційна та рекламна продукція; код 39290000-1- Фурнітура різна за ДК 021:2015 «Єдиний закупівельний словник»</t>
  </si>
  <si>
    <t>Інформаційна та рекламна продукція</t>
  </si>
  <si>
    <t>39290000-1         Фурнітура різна</t>
  </si>
  <si>
    <t>UA-2023-06-06-007595-a</t>
  </si>
  <si>
    <t xml:space="preserve">Швидкозшивачі; код 22850000-3 Швидкозшивачі та супутнє приладдя за ДК 021:2015  «Єдиний закупівельний словник» </t>
  </si>
  <si>
    <t>Швидкозшивач паперовий Buromax</t>
  </si>
  <si>
    <t>UA-2023-06-08-014942-a-c1</t>
  </si>
  <si>
    <t xml:space="preserve">Продукція для чищення; код 39830000-9 Продукція для чищення за ДК 021:2015  «Єдиний закупівельний словник» </t>
  </si>
  <si>
    <t>Рідке мило "МілаМ" (5л) грейпфрут; Засіб для миття підлоги "Весняні квіти" (універсальний 5 л) Gallus; Гель для  туалету з відбілювачем "YPLON GEL" Океан (1л); Поліроль (засіб для чищення меблів) ТОТО "Антиипил" (315м); Універсальний антисептик "Sgrassatore"; Засіб для миття вікон "Gallus" (1л); Білизна СТК (5л); Засіб для посуду "Gallus" 900 мл</t>
  </si>
  <si>
    <t>UA-2023-06-08-014891-a-a1</t>
  </si>
  <si>
    <t xml:space="preserve">Рамки, грамоти; код 39290000-1 Фурнітура різна за ДК 021:2015  «Єдиний закупівельний словник» </t>
  </si>
  <si>
    <t>Рамка - багет А4 зі склом; Рамка - багет А3 зі склом; Грамота А4 картон</t>
  </si>
  <si>
    <t>UA-2023-06-08-014685-a-a1</t>
  </si>
  <si>
    <t>22990000-6 Газетний папір, папір ручного виготовлення та інший некрейдований папір або картон для графічних цілей</t>
  </si>
  <si>
    <t>Плівка - ламінат А4 75 мкм; Папір-ватман А4 190 г/м2 Maestro</t>
  </si>
  <si>
    <t>UA-2023-06-08-014591-a-a1</t>
  </si>
  <si>
    <t>Кульки для сміття (50 шт) HDPE на 20л; Кульки для сміття (50 шт) HDPE на 35л; Кульки для сміття (30 шт) HDPE на 160л</t>
  </si>
  <si>
    <t>UA-2023-06-08-014474-a-a1</t>
  </si>
  <si>
    <t>Туалетний папір "Ромашка" 8 шт2-шарові; (видалене); Паперові рушники "Диво" целюлозні 2-шарові білий Optima; Рушник кухонний Perfex 3-шарові (150 аркушів); Туалетний папір "Кохавинка" (Втулка Велетень) 8 рул.</t>
  </si>
  <si>
    <t xml:space="preserve">Туалетний папір, носові хустинки, рушники для рук і серветки; код 33760000-5 Туалетний папір, носові хустинки, рушники для рук і серветки за ДК 021:2015  «Єдиний закупівельний словник» </t>
  </si>
  <si>
    <t xml:space="preserve">Поліетиленові мішки та пакети для сміття; код 19640000-4 Поліетиленові мішки та пакети для сміття за ДК 021:2015  «Єдиний закупівельний словник» </t>
  </si>
  <si>
    <t>UA-2023-06-08-014383-a-b1</t>
  </si>
  <si>
    <t>Запаска- МОР Color для швабри; Мікрофібра серветка для скла та дзеркал "Фрекен Бок"; Губки "Бонус" для митя посуди (профільна) (10 шт); Ганчірки для підлоги "Бонус" (4 шт)</t>
  </si>
  <si>
    <t>UA-2023-06-08-014166-a-c1</t>
  </si>
  <si>
    <t>2237203377</t>
  </si>
  <si>
    <t>ГАНУЩАК ЮРІЙ ІВАНОВИЧ</t>
  </si>
  <si>
    <t xml:space="preserve">Консультативні послуги з обробки інформації; код 79420000-4 Управлінські послугиза ДК 021:2015  «Єдиний закупівельний словник» </t>
  </si>
  <si>
    <t xml:space="preserve">Готові текстильні вироби; код 39520000-3 Готові текстильні вироби за ДК 021:2015  «Єдиний закупівельний словник» </t>
  </si>
  <si>
    <t>79420000-4 Управлінські послуги</t>
  </si>
  <si>
    <t>Консультативні послуги з обробки інформації</t>
  </si>
  <si>
    <t>UA-2023-06-09-008561-a-b1</t>
  </si>
  <si>
    <t>40175293</t>
  </si>
  <si>
    <t>СИСТЕМАТИКА УКРАЇНА</t>
  </si>
  <si>
    <t>Монітори, SSD, HDD, комплекти клавіатура і мишка, відеокарта; код 30230000-0 Комп’ютерне обладнання за ДК 021:2015 «Єдиний закупівельний словник»</t>
  </si>
  <si>
    <t>UA-2023-05-10-004256-a-b1</t>
  </si>
  <si>
    <t>Монітор Samsung F22T350FHI або еквівалент; SSD Kingston SSDNow A400 240GB 2.5" SATAIII 3D TLC або еквівалент; SSD Samsung 870 Evo-Series 500GB 2.5" SATA III V-NAND 3bit MLC або еквівалент; HDD WESTERN DIGITAL PURPLE 6TB 256MB або еквівалент; Комплект клавіатура і мишка Logitech Desktop MK120 або еквівалент; Відеокарта Radeon RX 6600 8Gb Biostar або еквівалент</t>
  </si>
  <si>
    <t>3314316112</t>
  </si>
  <si>
    <t>Клевець Тарас Васильович</t>
  </si>
  <si>
    <t>Мобільні телефони</t>
  </si>
  <si>
    <t>Мобільні телефони; код 32250000-0 Мобільні телефони за ДК 021:2015  «Єдиний закупівельний словник»;</t>
  </si>
  <si>
    <t>UA-2023-06-09-009077-a-c1</t>
  </si>
  <si>
    <t>23925002</t>
  </si>
  <si>
    <t>ТОВАРИСТВО З ОБМЕЖЕНОЮ ВІДПОВІДАЛЬНІСТЮ "ФIРМА"ЩИТ"</t>
  </si>
  <si>
    <t>Послуги з охорони об’єкту незавершеного будівництва «Будівництво типової будівлі басейну «H2O-CLASSIC» по вул. Богдана Хмельницького, 67 в м.Коломия; код 79710000-4 Охоронні послуги за ДК 021:2015 «Єдиний закупівельний словник»</t>
  </si>
  <si>
    <t>Послуги з охорони об’єкту незавершеного будівництва «Будівництво типової будівлі басейну «H2O-CLASSIC» по вул. Богдана Хмельницького, 67 в м.Коломия</t>
  </si>
  <si>
    <t>UA-2023-06-09-008699-a-b1</t>
  </si>
  <si>
    <t>ІНВЕСТ ЕНЕРГО ТРЕЙДІНГ</t>
  </si>
  <si>
    <t>Бензин А-95, Дизельне паливо;  код 09130000-9 Нафта і дистиляти  за ДК 021:2015 «Єдиного закупівельного словника»</t>
  </si>
  <si>
    <t>UA-2023-05-16-014815-a-b1</t>
  </si>
  <si>
    <t>Секція "СТАНДАРТ КОЛОР" 200х50мм 4,00мм/4,00мм 2,03м/2,50м оц.+ПП RAL 6005 ЗЕЛЕНИЙ (4рифи); Стовп "СТАНДАРТ КОЛОР" 60х40мм 4,00мм/2,50м оц.+ПП RAL 6005 ЗЕЛЕНИЙ 1,2мм 5 отв; Кріплення 60х40мм "СТАНДАРТ КОЛОР" оц.+ПП RAL 6005 ЗЕЛЕНИЙ ; Хвіртка "ДУОС" 200х50мм 5,00мм/4,00мм/5,00мм 2,00/1,00м  оц.+ПП RAL 6005 ЗЕЛЕНИЙ 2,70м/80х60мм/2,00мм 60х40мм/1,5мм+замок Комплекція для хвірток 60мм; Ворота розпашні "ДУОС" 200х50мм 5,00мм/4,00мм/5,00мм 2,00/6,00м  (3,00м-3,00м) оц.+ПП RAL 6005 ЗЕЛЕНИЙ 3,00м/100х100мм/3,00мм 60х40мм/1,5мм+замок Засов нижній Замок врізний KALE; Наконечник Г-подібний 530мм 60х40мм/1,2мм оц.+ПП RAL 6005 ЗЕЛЕНИЙ Універсальний</t>
  </si>
  <si>
    <t>UA-2023-06-12-008403-a-c1</t>
  </si>
  <si>
    <t xml:space="preserve">Конструкції та їх частини; код 44210000-5 Конструкції та їх частини за ДК 021:2015  «Єдиний закупівельний словник» </t>
  </si>
  <si>
    <t xml:space="preserve">Придбання дроту; код 44330000-2 Будівельні прути, стрижні, дроти та профілі за ДК 021:2015  «Єдиний закупівельний словник» </t>
  </si>
  <si>
    <t>44330000-2 Будівельні прути, стрижні, дроти та профілі</t>
  </si>
  <si>
    <t>Дріт колючий Єгоза-Стандарт 450/3-2,5м (17-23м/п.); Дріт оц.т/н 2,70мм</t>
  </si>
  <si>
    <t>Цемент IF CEM М-500 ПЦ ІІ/А-В 500Р-Н 50кг</t>
  </si>
  <si>
    <t>UA-2023-06-12-008589-a-b1</t>
  </si>
  <si>
    <t>UA-2023-06-12-008817-a-a1</t>
  </si>
  <si>
    <t>Послуга з розподілу електричної енергії (розподіл електроенергії активної; послуги із забезпечення перетікань реактивної електричної енергії)</t>
  </si>
  <si>
    <t xml:space="preserve">Розподіл електроенергії активної; послуги із забезпечення перетікань реактивної електричної енергії; код 65310000-9 Розподіл електричної енергії за ДК 021:2015 «Єдиний закупівельний словник»  </t>
  </si>
  <si>
    <t>UA-2023-06-13-000364-a-b1</t>
  </si>
  <si>
    <t>UA-2023-06-13-010425-a-a1</t>
  </si>
  <si>
    <t>41647706</t>
  </si>
  <si>
    <t>Профілі сталеві листові Н-57 з полімерним покриттям</t>
  </si>
  <si>
    <t>UA-2023-06-14-012746-a-c1</t>
  </si>
  <si>
    <t>2273 Оплата електроенергії</t>
  </si>
  <si>
    <t>118210                    118230</t>
  </si>
  <si>
    <t>689 505,00           92 655,00</t>
  </si>
  <si>
    <t>2210  Предмети, матеріали, обладнання та інвентар;                                3110 -</t>
  </si>
  <si>
    <t>2210-95 140,80;                 3110-655 640,00</t>
  </si>
  <si>
    <t xml:space="preserve">Виготовлення проектно-кошторисної документації та виконанні функцій замовника експертної оцінки по об'єкту: «Поточний ремонт території від КПП №3 до паркової зони військової частини А4267, в/м №1, м. Коломия»; 71240000-2 Архітектурні, інженерні та планувальні послуги за ДК 021:2015 «Єдиний закупівельний словник»  </t>
  </si>
  <si>
    <t>UA-2023-06-19-010914-a</t>
  </si>
  <si>
    <t>Вітальна адреса; код 22320000-9 Вітальні листівки за ДК 021:2015  «Єдиний закупівельний словник»</t>
  </si>
  <si>
    <t>Вітальна адреса А4 на дерев'яній основі</t>
  </si>
  <si>
    <t>UA-2023-06-19-000481-a</t>
  </si>
  <si>
    <t>Жалюзі вертикальні тканеві (Бейрут 021) розмір 2,63х2,88; Жалюзі вертикальні тканеві (Бейрут 021) розмір 2,71х2,88; Жалюзі вертикальні тканеві (Бейрут 021) розмір 2,55х2,88; Жалюзі вертикальні тканеві (Бейрут 021) розмір 2,87х2,89</t>
  </si>
  <si>
    <t>Вертикальні жалюзі; код 39510000-0 Вироби домашнього текстилю за ДК 021:2015  «Єдиний закупівельний словник»</t>
  </si>
  <si>
    <t>39510000-0 Вироби домашнього текстилю</t>
  </si>
  <si>
    <t>UA-2023-06-19-000560-a</t>
  </si>
  <si>
    <t>Рукавиці латексні господарські; Рукавиці  господарські робочі (трикотажні)</t>
  </si>
  <si>
    <t xml:space="preserve">Аксесуари до робочого одягу; код 18140000-2 Аксесуари до робочого одягу за ДК 021:2015  «Єдиний закупівельний словник» </t>
  </si>
  <si>
    <t>UA-2023-06-19-001936-a</t>
  </si>
  <si>
    <t>Послуги з виготовлення інформаційних відеоматеріалів; код 92110000-5 Послуги з виробництва кіноплівки та відеокасет і супутні послуги за ДК 021:2015 «Єдиний закупівельний словник»</t>
  </si>
  <si>
    <t>Послуги з виготовлення інформаційних відеоматеріалів</t>
  </si>
  <si>
    <t>ІВАНО-ФРАНКІВСЬКЕ ОБЛАСНЕ ТЕЛЕБАЧЕННЯ "ГАЛИЧИНА"</t>
  </si>
  <si>
    <t>92110000-5 Послуги з виробництва кіноплівки та відеокасет і супутні послуги</t>
  </si>
  <si>
    <t>UA-2023-06-19-001520-a</t>
  </si>
  <si>
    <t>UA-2023-06-19-015444-a</t>
  </si>
  <si>
    <t>79210000-9 Бухгалтерські та аудиторські послуги</t>
  </si>
  <si>
    <t>Аудиторські послуги</t>
  </si>
  <si>
    <t>13.06.203</t>
  </si>
  <si>
    <t>Приватне підприємство "Західно-Українська Аудиторська Компанія"</t>
  </si>
  <si>
    <t>Аудиторські послуги; код 79210000-9 Бухгалтерські та аудиторські послуги за ДК 021:2015 «Єдиний закупівельний словник»</t>
  </si>
  <si>
    <t>UA-2023-06-19-010021-a</t>
  </si>
  <si>
    <t>Придбання та виготовлення стендів; код 39290000-1 Фурнітура різна за ДК 021:2015 «Єдиний закупівельний словник»</t>
  </si>
  <si>
    <t>ПОПОВИЧ ІВАННА МИРОСЛАВІВНА</t>
  </si>
  <si>
    <t>3174706361</t>
  </si>
  <si>
    <t>Стенд інформаційний "Куточок з охорони праці" з комірками; Стенд "Технологія праці на заточному верстаті"; Стенд "Стругання деревини ручним інструментом"; Стенд "Деревообробка"; Стенд "Техніка безпеки учнів у навчальній майстерні"; Стенд "Свердильний верстат, конструкція свердл, конструкція мітчиків"</t>
  </si>
  <si>
    <t>Придбання акумуляторних викруток; код 44510000-8 Знаряддя за ДК 021:2015 «Єдиний закупівельний словник»</t>
  </si>
  <si>
    <t>Фізична особа Княгницький Мирослав Дмитрович</t>
  </si>
  <si>
    <t>2512702213</t>
  </si>
  <si>
    <t>Акумуляторна викрутка CSD 36Х</t>
  </si>
  <si>
    <t>UA-2023-06-19-015399-a</t>
  </si>
  <si>
    <t>Електрична енергія; код 09310000-5 Електрична енергія за ДК 021:2015 «Єдиний закупівельний словник»</t>
  </si>
  <si>
    <t xml:space="preserve">Виготовлення проектно-кошторисної документації по об'єкту: «Поточний ремонт приміщення Ангару військової частини А0742»; 71240000-2 Архітектурні, інженерні та планувальні послуги за ДК 021:2015 «Єдиний закупівельний словник»  </t>
  </si>
  <si>
    <t>Виготовлення проектно-кошторисної документації по об'єкту: "Поточний ремонт приміщення Ангару військової частини А0742"</t>
  </si>
  <si>
    <t>Виготовлення проектно-кошторисної документації по об'єкту: "Поточний ремонт покрівлі навісу №107 (на 24 машино-місця) військової частини А0742"</t>
  </si>
  <si>
    <t xml:space="preserve">Виготовлення проектно-кошторисної документації по об'єкту: «Поточний ремонт покрівлі навісу №111 (на 12 машино-місця) військової частини А0742»; 71240000-2 Архітектурні, інженерні та планувальні послуги за ДК 021:2015 «Єдиний закупівельний словник» </t>
  </si>
  <si>
    <t>Виготовлення проектно-кошторисної документації по об'єкту: "Поточний ремонт покрівлі навісу №111 (на 12 машино-місця) військової частини А0742"</t>
  </si>
  <si>
    <t xml:space="preserve">Телевізори;  код  32320000-2 - Телевізійне й аудіовізуальне обладнання за ДК 021:2015 «Єдиний закупівельний словник»  </t>
  </si>
  <si>
    <t>Телевізор Samsung UE24N4500AUXUA</t>
  </si>
  <si>
    <t>32320000-2 Телевізійне й аудіовізуальне обладнання</t>
  </si>
  <si>
    <t>Товариство з обмеженою відповідальністю "Систематика Україна"</t>
  </si>
  <si>
    <t>30210000-4 Машини для обробки даних (апаратна частина)</t>
  </si>
  <si>
    <t>Персональні комп’ютери; код 30210000-4 Машини для обробки даних (апаратна частина) за ДК 021:2015 «Єдиний закупівельний словник»:Персональні комп’ютери; код 30210000-4 Машини для обробки даних (апаратна частина) за ДК 021:2015 «Єдиний закупівельний словник»</t>
  </si>
  <si>
    <t>Комп'ютер ARTLINE Business B22 v04; Комп'ютер Vinga Advanced B0077</t>
  </si>
  <si>
    <t>Акустичні пристрої; код - 32340000-8 Мікрофони та гучномовці за ДК 021:2015 «Єдиний закупівельний словник»</t>
  </si>
  <si>
    <t>Дикий Роман-Степан Сергійович</t>
  </si>
  <si>
    <t>32340000-8 Мікрофони та гучномовці</t>
  </si>
  <si>
    <t>Стаціонарна система REAL-EL S-90 Black</t>
  </si>
  <si>
    <t>Маршрутизатори; код - 32410000-0 Локальні мережі за ДК 021:2015  «Єдиний закупівельний словник»</t>
  </si>
  <si>
    <t>Маршрутизатор ASUS RT-AX55</t>
  </si>
  <si>
    <t>Проектори; код - 38650000-6 Фотографічне обладнання за ДК 021:2015  «Єдиний закупівельний словник»</t>
  </si>
  <si>
    <t>Проектор Acer X128HP (MR.JR811.00Y)</t>
  </si>
  <si>
    <t>38650000-6 Фотографічне обладнання</t>
  </si>
  <si>
    <t>Здійснення технічного нагляду за виконанням поточного ремонту по об’єкту:  Поточний ремонт покрівлі навісу №111 (на 12 машино-місця) військової частини А0742; код 71240000-2 Архітектурні, інженерні та планувальні послуги за ДК 021:2015 «Єдиний закупівельний словник»</t>
  </si>
  <si>
    <t>Технічний нагляд за виконанням поточного ремонту по об’єкту:  Поточний ремонт покрівлі навісу №111 (на 12 машино-місця) військової частини А0742</t>
  </si>
  <si>
    <t>Фількин Олександр Вікторович</t>
  </si>
  <si>
    <t xml:space="preserve">Ремонт транспортних засобів; код 50110000-9 - Послуги з ремонту і технічного обслуговування мототранспортних засобів і супутнього обладнання за ДК 021:2015 «Єдиний закупівельний словник» 
</t>
  </si>
  <si>
    <t>Ремонт і встановлення цистерни на раму причіпа; Ремонт ступиць причіпа; Ремонт рами причіпа; Виготовлення та встановлення паливного котла; Виготовлення та встановлення димохідних каналів; Виготовлення та встановлення системи електричного нагріву води; Встановлення бокових коробів причіпа; Фарбування причіпа ; Ремонт гідроциліндра підйому кузова; Заміна гідророзподільника; Установлення рукавів високого тиску; Заміна рідини в гідросистемі (40л); Ремонт гідробака і заміна гідроліній</t>
  </si>
  <si>
    <t xml:space="preserve">Здійснення технічного нагляду за виконанням поточного ремонту по об’єкту:  Поточний ремонт покрівлі навісу №107 (на 24 машино-місця) військової частини А0742; код 71240000-2 Архітектурні, інженерні та планувальні послуги за ДК 021:2015 «Єдиний закупівельний словник» </t>
  </si>
  <si>
    <t>Здійснення технічного нагляду за виконанням поточного ремонту по об’єкту:  Поточний ремонт покрівлі навісу №107 (на 24 машино-місця) військової частини А0742</t>
  </si>
  <si>
    <t>Поточний ремонт покрівлі навісу №111 (на 12 машино-місця) військової частини А0742;  код 45260000-7 Покрівельні роботи та інші спеціалізовані будівельні роботи за ДК 021:2015 «Єдиний закупівельний словник»;</t>
  </si>
  <si>
    <t>Поточний ремонт покрівлі навісу №111 (на 12 машино-місця) військової частини А0742</t>
  </si>
  <si>
    <t>Поточний ремонт покрівлі навісу №107 (на 24 машино-місця) військової частини А0742;  код 45260000-7 Покрівельні роботи та інші спеціалізовані будівельні роботи за ДК 021:2015 «Єдиний закупівельний словник»</t>
  </si>
  <si>
    <t xml:space="preserve">Ремонт транспортних засобів; код 50110000-9 - Послуги з ремонту і технічного обслуговування мототранспортних засобів і супутнього обладнання за ДК 021:2015 «Єдиний закупівельний словник» </t>
  </si>
  <si>
    <t>Ремонт пневмосистеми, заміна вологовідділювача; Ремонт електрообладнання, заміна фар; Ремонт тормозної системи; Обслуговування системи охолодження двигуна, заміна антифризу, привідних роликів; Заміна масла двигуна, комплекту фільтрів; Ремонт рульового механізму автомобіля УРАЛ</t>
  </si>
  <si>
    <t>Здійснення технічного нагляду за виконанням поточного ремонту по об’єкту:  Поточний ремонт приміщення Ангару військової частини А0742; код 71240000-2 Архітектурні, інженерні та планувальні послуги за ДК 021:2015 «Єдиний закупівельний словник»</t>
  </si>
  <si>
    <t>Здійснення технічного нагляду за виконанням поточного ремонту по об’єкту:  Поточний ремонт приміщення Ангару військової частини А0742</t>
  </si>
  <si>
    <t xml:space="preserve">Поточний ремонт приміщення Ангару військової частини А0742;  код 45450000-6 Інші завершальні будівельні роботи за ДК 021:2015 «Єдиний закупівельний словник» </t>
  </si>
  <si>
    <t>Поточний ремонт приміщення Ангару військової частини А0742</t>
  </si>
  <si>
    <t>ТОВАРИСТВО З ОБМЕЖЕНОЮ ВІДПОВІДАЛЬНІСТЮ "РІК ІНВЕСТ"</t>
  </si>
  <si>
    <t>43612759</t>
  </si>
  <si>
    <t xml:space="preserve">Здійснення технічного нагляду за виконанням поточного ремонту в рамках предмету закупівлі:  Поточний ремонт території від КПП №3 до паркової зони військової частини А4267, в/м №1, м. Коломия; код 71240000-2 Архітектурні, інженерні та планувальні послуги за ДК 021:2015 «Єдиний закупівельний словник» </t>
  </si>
  <si>
    <t>Здійснення технічного нагляду за виконанням поточного ремонту в рамках предмету закупівлі:  Поточний ремонт території від КПП №3 до паркової зони військової частини А4267, в/м №1, м. Коломия</t>
  </si>
  <si>
    <t xml:space="preserve">Поточний ремонт території від КПП №3 до паркової зони військової частини А4267, в/м №1, м. Коломия;  код 45230000-8 Будівництво трубопроводів, ліній зв’язку та електропередач, шосе, доріг, аеродромів і залізничних доріг; вирівнювання поверхонь за ДК 021:2015 «Єдиний закупівельний словник» </t>
  </si>
  <si>
    <t>Поточний ремонт території від КПП №3 до паркової зони військової частини А4267, в/м №1, м. Коломия</t>
  </si>
  <si>
    <t>39983274</t>
  </si>
  <si>
    <t xml:space="preserve">Акумулятори; код 31440000-2 Акумуляторні батареї за ДК 021:2015 «Єдиний закупівельний словник» </t>
  </si>
  <si>
    <t>Акумулятор DJI Mavic 3 Intelligent Flight Battery</t>
  </si>
  <si>
    <t>Акумулятор  DJI Mavic 3 Intelligent Flight Battery</t>
  </si>
  <si>
    <t>Поточний ремонт (утеплення зовнішніх укосів) в будівлі на площі Привокзальна, 2А/1 в м.Коломиї; код 45450000-6 Інші завершальні будівельні роботи за ДК 021:2015  «Єдиний закупівельний словник»</t>
  </si>
  <si>
    <t>Поточний ремонт (утеплення зовнішніх укосів) в будівлі на площі Привокзальна, 2А/1 в м.Коломиї</t>
  </si>
  <si>
    <t>2765203477</t>
  </si>
  <si>
    <t>Поточний ремонт покрівлі навісу №107 (на 24 машино-місця) військової частини А0742</t>
  </si>
  <si>
    <t>48620000-0 Операційні системи</t>
  </si>
  <si>
    <t>79530000-8 Послуги з письмового перекладу</t>
  </si>
  <si>
    <t>79990000-0 Різні послуги, пов’язані з діловою сферою</t>
  </si>
  <si>
    <t>42610000-5 Лазерні верстати та обробні центри</t>
  </si>
  <si>
    <t>14810000-2 Абразивні вироби</t>
  </si>
  <si>
    <t>51110000-6 Послуги зі встановлення електричного обладнання</t>
  </si>
  <si>
    <t>32250000-0 Мобільні телефони</t>
  </si>
  <si>
    <t>18510000-7 Ювелірні вироби та супутні товари</t>
  </si>
  <si>
    <t>Посвідчення "Почесний громадянин м. Коломиї"</t>
  </si>
  <si>
    <t>Стенд 1,5х1,2м</t>
  </si>
  <si>
    <t>Оптичний привід ASUS DVD-RW SDRW-08D2S-U LITE/DBLK (SDRW-08D2S-U LITE/DBLK/G/AS) Black, Зовнішній Slim, USB 2.0, 2 Mb</t>
  </si>
  <si>
    <t>Ноутбук  HP 250 G9  (15.6",  Intel Core i5-1235U , 8GB, SSD: 512GB, Intel Iris Xe Graphics, 2xUSB 3.2,FreeDOS, Silver  (723Q9EA)</t>
  </si>
  <si>
    <t>Операційна система Microsoft Windows 11 Pro 64Bit Ukrainian Intl 1pk DSP , український, OEM - версія</t>
  </si>
  <si>
    <t>Ремонт рами; Ремонт ходової частини; Ремонт опорного механізму; Ремонт балансирної підвіски; Ремонт гальмівного приводу; Ремонт гальмівних механізмів; Ремонт електрообладнання; Ремонт відкидних трапів</t>
  </si>
  <si>
    <t>Послуги з перекладу текстового матеріалу</t>
  </si>
  <si>
    <t xml:space="preserve">Послуги зі створення та розміщення інформаційної продукції </t>
  </si>
  <si>
    <t>Технічна інвентаризація об`єктів нерухомого майна незавершеного будівництва  типової будівлі басейну «H2O-CLASSIC»  за адресою: Івано-Франківська обл., м.Коломия, вул.Богдана Хмельницького, 67</t>
  </si>
  <si>
    <t>Лазерний верстат GLNastel 3020 40вТ</t>
  </si>
  <si>
    <t>Шліфувальний папір Р40 для віброшліфмашин</t>
  </si>
  <si>
    <t>Послуги зі встановлення електрогенератора та влаштування заземлення до адмінбудівлі ЦНАП на площі Привокзальна, 2А/1;</t>
  </si>
  <si>
    <t>Млбільний телефон Xiaomi Redmi 12C 4/128Gb</t>
  </si>
  <si>
    <t>Виготовлення проектно-кошторисної документації  по об'єкту: «Поточний ремонт території заїзду до ПТОР військової частини А4267 в/м №1, м. Коломия»</t>
  </si>
  <si>
    <t>Виготовлення проектно-кошторисної документації  по об'єкту: «Поточний ремонт території складу паливно-мастильних матеріалів військової частини А4267 в/м №1, м. Коломия»</t>
  </si>
  <si>
    <t>Квадрокоптер DJI Mavic 3 Enterprise 3Е; Квадрокоптер DJI Mavic 3Т Thermal</t>
  </si>
  <si>
    <t>Рюкзак-короб Машина 989034; Рюкзак-короб Принцеса 988890; Рюкзак California L, зелений з метеликами, А; Рюкзак California L, фіолетовий, А; Рюкзак молодіжний «CFS» CF86374 15” ш.к.4044572863744; Рюкзак молодіжний YES T-67 «Hearts», синій ш.к. 5056137179282; Рюкзак YES 557002; Рюкзак YES 556982; Рюкзак YES 556501</t>
  </si>
  <si>
    <t>Зошит 12 # арк. клітинка «Школярик» ФОН (30/300) ш.к.; Зошит 12 = арк. лінія, «Школярик» ФОН (30/300) ш.к.; Зошит 18 # арк. клітинка «Школярик» ФОН (25/250) ш.к.; Зошит 18 = арк. лінія, «Школярик» ФОН (25/250) ш.к.; Зошит 24 # арк. клітинка «Школярик» ФОН (25/250) ш.к.; Зошит 24 = арк. лінійка, «Школярик» ФОН (25/250) ш.к.; Зошит 36 #  клітинка, YES (15)</t>
  </si>
  <si>
    <t>Поточний ремонт території складу паливо-мастильних матеріалів військової частини А4267, в/м №1, м. Коломия</t>
  </si>
  <si>
    <t>Поточний ремонт території заїзду до ПТОР військової частини А4267, в/м №1, м.Коломия</t>
  </si>
  <si>
    <t>Дотягувач пів автомат до металопластикових дверей</t>
  </si>
  <si>
    <t>Медаль  «Почесний громадянин міста Коломиї» на колодці у футлярі</t>
  </si>
  <si>
    <t>Проведення тренінгу на тему «Проект як інструмент змін в громаді»</t>
  </si>
  <si>
    <t>Послуги з ремонту і технічного обслуговування вимірювальних, випробувальних і контрольних приладів</t>
  </si>
  <si>
    <t>Здійснення технічного нагляду за виконанням поточного ремонту по об’єкту:  Поточний ремонт території заїзду до ПТОР військової частини А4267, в/м №1, м.Коломия</t>
  </si>
  <si>
    <t>Здійснення технічного нагляду за виконанням поточного ремонту по об’єкту:  Поточний ремонт території складу паливо-мастильних матеріалів військової частини А4267, в/м №1, м. Коломия</t>
  </si>
  <si>
    <t>Приз зі скла, висота: 205 мм; Приз зі скла, висота: 170 мм</t>
  </si>
  <si>
    <t>ТОВАРИСТВО З ДОДАТКОВОЮ ВІДПОВІДАЛЬНІСТЮ "КОЛОМИЙСЬКА ДРУКАРНЯ ІМ. ШУХЕВИЧА"</t>
  </si>
  <si>
    <t>ГУЦАЛ АНАТОЛІЙ ГРИГОРОВИЧ</t>
  </si>
  <si>
    <t>Ситнік Андрій Сергійович</t>
  </si>
  <si>
    <t>Агропромислово-виробниче підприємство "Техніка" у формі ТзОВ</t>
  </si>
  <si>
    <t>Олексюк Андрій Васильович</t>
  </si>
  <si>
    <t>Городчук Валерія Тарасівна</t>
  </si>
  <si>
    <t>Бабинюк Богдан Ярославович</t>
  </si>
  <si>
    <t>Братик Оксана Мирославівна</t>
  </si>
  <si>
    <t>Княгницький Мирослав Дмитрович</t>
  </si>
  <si>
    <t>ЧОРНОМАЗ МИКОЛА МИКОЛАЙОВИЧ</t>
  </si>
  <si>
    <t>Фізична особа - підприємець Семенчук Богдан Васильович</t>
  </si>
  <si>
    <t>ГУМЕНЮК ІГОР ІВАНОВИЧ</t>
  </si>
  <si>
    <t>ОЛЕЩЕНКО ОЛЕКСАНДР ІВАНОВИЧ</t>
  </si>
  <si>
    <t xml:space="preserve">Посвідчення; код 22450000-9 Друкована продукція з елементами захисту за ДК 021:2015  «Єдиний закупівельний словник» </t>
  </si>
  <si>
    <t xml:space="preserve">Придбання стендів; код 39290000-1 Фурнітура різна за ДК 021:2015  «Єдиний закупівельний словник» </t>
  </si>
  <si>
    <t xml:space="preserve">Придбання оптичних приводів; код 30230000-0 Комп’ютерне обладнання за ДК 021:2015  «Єдиний закупівельний словник» </t>
  </si>
  <si>
    <t xml:space="preserve">Придбання ноутбуків; код 30210000-4 Машини для обробки даних  (апаратна частина) за ДК 021:2015  «Єдиний закупівельний словник» </t>
  </si>
  <si>
    <t xml:space="preserve">Придбання операційних систем; код 48620000-0 Операційні системи за ДК 021:2015  «Єдиний закупівельний словник» </t>
  </si>
  <si>
    <t xml:space="preserve">Послуги з письмового перекладу; код 79530000-8  Послуги з письмового перекладу за за ДК 021:2015  «Єдиний закупівельний словник» 
</t>
  </si>
  <si>
    <t>Послуги зі створення та розміщення інформаційної продукції; код 79340000-9 Рекламні та маркетингові послуги  за ДК 021:2015  «Єдиний закупівельний словник»</t>
  </si>
  <si>
    <t>Технічна інвентаризація об`єктів нерухомого майна незавершеного будівництва  типової будівлі басейну «H2O-CLASSIC»  за адресою: Івано-Франківська обл., м.Коломия, вул.Богдана Хмельницького, 67; код 79990000-0 Різні послуги, пов’язані з діловою сферою за ДК 021: 2015 «Єдиний закупівельний словник»</t>
  </si>
  <si>
    <t xml:space="preserve">Придбання лазерних верстатів; код 42610000-5 Лазерні верстати та обробні центри за ДК 021:2015 «Єдиний закупівельний словник» </t>
  </si>
  <si>
    <t>Придбання шліфувального паперу; код 14810000-2 Абразивні вироби за ДК 021:2015 «Єдиний закупівельний словник»</t>
  </si>
  <si>
    <t xml:space="preserve">Послуги зі встановлення електрогенератора та влаштування заземлення до адмінбудівлі ЦНАП на площі Привокзальна, 2А/1; код 51110000-6 Послуги зі встановлення електричного обладнання за ДК 021:2015  «Єдиний закупівельний словник» </t>
  </si>
  <si>
    <t>Мобільні телефони; код 32250000-0 - Мобільні телефони за ДК 021:2015 «Єдиний закупівельний словник»</t>
  </si>
  <si>
    <t xml:space="preserve">Виготовлення проектно-кошторисної документації  по об'єкту: «Поточний ремонт території заїзду до ПТОР військової частини А4267 в/м №1, м. Коломия»; 71240000-2 Архітектурні, інженерні та планувальні послуги за ДК 021:2015 «Єдиний закупівельний словник» </t>
  </si>
  <si>
    <t xml:space="preserve">Виготовлення проектно-кошторисної документації  по об'єкту: «Поточний ремонт території складу паливно-мастильних матеріалів військової частини А4267 в/м №1, м. Коломия»; 71240000-2 Архітектурні, інженерні та планувальні послуги за ДК 021:2015 «Єдиний закупівельний словник» </t>
  </si>
  <si>
    <t xml:space="preserve">Придбання безпілотних літальних апаратів; код 34710000-7 Вертольоти, літаки, космічні та інші літальні апарати з двигуном за ДК 021:2015 «Єдиний закупівельний словник» </t>
  </si>
  <si>
    <t xml:space="preserve">Рюкзаки; код 18930000-7 Мішки та пакети за ДК 021:2015  «Єдиний закупівельний словник» </t>
  </si>
  <si>
    <t xml:space="preserve">Зошити;  код 22830000-7 Зошити за ДК 021:2015  «Єдиний закупівельний словник» 
</t>
  </si>
  <si>
    <t xml:space="preserve">Поточний ремонт території складу паливо-мастильних матеріалів військової частини А4267, в/м №1, м. Коломия;  код 45230000-8 Будівництво трубопроводів, ліній зв’язку та електропередач, шосе, доріг, аеродромів і залізничних доріг; вирівнювання поверхонь за ДК 021:2015 «Єдиний закупівельний словник» </t>
  </si>
  <si>
    <t xml:space="preserve">Поточний ремонт території заїзду до ПТОР військової частини А4267, в/м №1, м.Коломия;  код 45230000-8 Будівництво трубопроводів, ліній зв’язку та електропередач, шосе, доріг, аеродромів і залізничних доріг; вирівнювання поверхонь за ДК 021:2015 «Єдиний закупівельний словник» </t>
  </si>
  <si>
    <t>Дотягувач до металопластикових дверей; код 44520000-1 Замки, ключі та петлі за ДК 021:2015 «Єдиний закупівельний словник»</t>
  </si>
  <si>
    <t>Придбання медалей «Почесний громадянин міста Коломиї»; код  18510000-7 Ювелірні вироби та супутні товари за ДК 021:2015 «Єдиний закупівельний словник»</t>
  </si>
  <si>
    <t xml:space="preserve">Проведення тренінгу на тему «Проект як інструмент змін в громаді»; код  80510000-2  Послуги з професійної підготовки спеціалістів за ДК 021:2015 «Єдиний закупівельний словник» </t>
  </si>
  <si>
    <t>Послуги з ремонту і технічного обслуговування вимірювальних, випробувальних і контрольних приладів; код  50410000-2 Послуги з ремонту і технічного обслуговування вимірювальних, випробувальних і контрольних приладів за ДК 021:2015 «Єдиний закупівельний словник»</t>
  </si>
  <si>
    <t xml:space="preserve">Здійснення технічного нагляду за виконанням поточного ремонту по об’єкту:  Поточний ремонт території заїзду до ПТОР військової частини А4267, в/м №1, м.Коломия; код 71240000-2 Архітектурні, інженерні та планувальні послуги за ДК 021:2015 «Єдиний закупівельний словник» </t>
  </si>
  <si>
    <t xml:space="preserve">Здійснення технічного нагляду за виконанням поточного ремонту по об’єкту:  Поточний ремонт території складу паливо-мастильних матеріалів військової частини А4267, в/м №1, м. Коломия; код 71240000-2 Архітектурні, інженерні та планувальні послуги за ДК 021:2015 «Єдиний закупівельний словник» </t>
  </si>
  <si>
    <t>Придбання нагородної атрибутики; код 39290000-1 Фурнітура різна за ДК 021:2015 «Єдиний закупівельний словник»</t>
  </si>
  <si>
    <t>2282 - Окремі заходи по реалізації державних (регіональних) програм, не віднесені до заходів розвитку</t>
  </si>
  <si>
    <t>Додаткова угода до Договору про відшкодування витрат балансоутримувача на утримання орендованого нерухомого майна  та надання комунальних послуг Орендарю №12 від 17.02.2023 року</t>
  </si>
  <si>
    <t>Оператор системи розподілу АТ "Прикарпаттяобленерго" філфя "Коломийська"</t>
  </si>
  <si>
    <t>Додатковий правочин про зміни  до Договору  про постачання електричної енергії №260206 від 01.06.2021 року</t>
  </si>
  <si>
    <t>Додаткова угода до Договору про закупівлю послуги з розподілу природного газу</t>
  </si>
  <si>
    <t>АТ "Оператор газорозподільної системи "Івано - Франківськгаз"</t>
  </si>
  <si>
    <t>Додатковий правочин про зміни та доповнення до Договору про закупівлю послуг з розподілу електричної енергії за державні кошти №260206 від 14.02.2023 року</t>
  </si>
  <si>
    <t>Додатковий правочин про зміни та доповнення до Договору про закупівлю послуг з розподілу електричної енергії за державні кошти №3001455 від 13.12.2019 року</t>
  </si>
  <si>
    <t>Додатковий правочин про зміни та доповнення до Договору про закупівлю послуг з розподілу електричної енергії за державні кошти №2701052 від 13.05.2019року</t>
  </si>
  <si>
    <t xml:space="preserve">2272 - Оплата водопостачання та водовідведення,     2273 Оплата електроенергії,                2274 - Оплата природного газу   </t>
  </si>
  <si>
    <t xml:space="preserve"> 2274 - Оплата природного газу</t>
  </si>
  <si>
    <t xml:space="preserve"> Несененко Віра Борисівна</t>
  </si>
  <si>
    <t xml:space="preserve">Поточний ремонт зовнішньої мережі водопостачання на території військової частини А4267; код 45330000-9 -  Водопровідні та санітарно – технічні роботи за ДК 021:2015  «Єдиний закупівельний словник» </t>
  </si>
  <si>
    <t>Поточний ремонт зовнішньої мережі водопостачання на території військової частини А4267</t>
  </si>
  <si>
    <t>45330000-9 Водопровідні та санітарно-технічні роботи</t>
  </si>
  <si>
    <t xml:space="preserve">Поточний ремонт зовнішньої мережі водовідведення на території військової частини А4267; код 45330000-9 -  Водопровідні та санітарно – технічні роботи за ДК 021:2015  «Єдиний закупівельний словник» </t>
  </si>
  <si>
    <t>Поточний ремонт зовнішньої мережі водовідведення на території військової частини А4267</t>
  </si>
  <si>
    <t>Придбання комбінованого деревообробного верстата; код 42640000-4 Верстати для обробки твердих матеріалів, окрім металів за ДК 021:2015 «Єдиний закупівельний словник»</t>
  </si>
  <si>
    <t>Комбінований деревообробний верстат FDB Maschinen MLQ 345M</t>
  </si>
  <si>
    <t>42640000-4 Верстати для обробки твердих матеріалів, окрім металів</t>
  </si>
  <si>
    <t>Грамоти, плакати, флаєри;  код 39290000-1 Фурнітура різна за ДК 021:2015  «Єдиний закупівельний словник»</t>
  </si>
  <si>
    <t>Грамота А4 "Шаную воїнів, біжу за героїв України"; Плакат 1,03х1,03м  "Шаную воїнів, біжу за героїв України"; Флаєр 0,1 х 0,15м  "Шаную воїнів, біжу за героїв України"</t>
  </si>
  <si>
    <t>Медалі;  код 18530000-3 Подарунки та нагороди за ДК 021:2015  «Єдиний закупівельний словник»</t>
  </si>
  <si>
    <t>Медаль "Шаную воїнів, біжу за героїв України"</t>
  </si>
  <si>
    <t>Придбання будівельних матеріалів;  код 44110000-4 Конструкційні матеріали за ДК 021:2015 «Єдиний закупівельний словник»</t>
  </si>
  <si>
    <t>Портландцемент ПЦ ІІ/А-В  500Р-Н  50 кг</t>
  </si>
  <si>
    <t>Ремонт транспортних засобів; код 50110000-9 - Послуги з ремонту і технічного обслуговування мототранспортних засобів і супутнього обладнання за ДК 021:2015 «Єдиний закупівельний словник»</t>
  </si>
  <si>
    <t>Діагностика гідросистеми екскаватора, виявлення несправностей; Ремонт гідроприводу екскаватора; Ремонт шарнірних з’єднань стріли, рукояті, рами, виносних опор і фронтального навантажувача екскаватора; Ремонт гідроциліндрів екскаватора - навантажувача; Ремонт трансмісії екскаватора; Ремонт двигуна екскаватора; Заміна РВТ (1 к-кт); Ремонт кабіни екскаватора; Ремонт рами і  стріли екскаватора</t>
  </si>
  <si>
    <t>Виготовлення проектно-кошторисної документації  по об'єкту: «Поточний ремонт внутрішньо аеродромних доріг військової частини А0742»; 71240000-2 Архітектурні, інженерні та планувальні послуги за ДК 021:2015 «Єдиний закупівельний словник»;</t>
  </si>
  <si>
    <t>Виготовлення проектно-кошторисної документації  по об'єкту: «Поточний ремонт внутрішньо аеродромних доріг військової частини А0742»</t>
  </si>
  <si>
    <t>ТОВАРИСТВО З ОБМЕЖЕНОЮ ВІДПОВІДАЛЬНІСТЮ "ПРОФ-ГРУП ПРОЕКТ"</t>
  </si>
  <si>
    <t>Виготовлення проектно-кошторисної документації  по об'єкту: «Поточний ремонт території від складу паливо - мастильних матеріалів до паркової зони військової частини А4267 в/м №1, м. Коломия»; 71240000-2 Архітектурні, інженерні та планувальні послуги за ДК 021:2015 «Єдиний закупівельний словник»</t>
  </si>
  <si>
    <t>Виготовлення проектно-кошторисної документації  по об'єкту: «Поточний ремонт території від складу паливо - мастильних матеріалів до паркової зони військової частини А4267 в/м №1, м. Коломия»</t>
  </si>
  <si>
    <t>Виготовлення проектно-кошторисної документації  по об'єкту: «Поточний ремонт системи електропостачання, перегородок та зовнішньої огорожі Ангару військової частини А0742»; 71240000-2 Архітектурні, інженерні та планувальні послуги за ДК 021:2015 «Єдиний закупівельний словник»</t>
  </si>
  <si>
    <t>Виготовлення проектно-кошторисної документації  по об'єкту: «Поточний ремонт системи електропостачання, перегородок та зовнішньої огорожі Ангару військової частини А0742»</t>
  </si>
  <si>
    <t>Виготовлення проектно-кошторисної документації  по об'єкту: «Поточний ремонт приміщення будинку висотного спорядження військової частини А0742»; 71240000-2 Архітектурні, інженерні та планувальні послуги за ДК 021:2015 «Єдиний закупівельний словник»</t>
  </si>
  <si>
    <t>Виготовлення проектно-кошторисної документації  по об'єкту: «Поточний ремонт приміщення будинку висотного спорядження військової частини А0742»</t>
  </si>
  <si>
    <t>Виготовлення проектно-кошторисної документації  по об'єкту: «Електромонтажні роботи в приміщенні ЗБУ №11 військової частини А0742»; 71240000-2 Архітектурні, інженерні та планувальні послуги за ДК 021:2015 «Єдиний закупівельний словник»</t>
  </si>
  <si>
    <t>Виготовлення проектно-кошторисної документації  по об'єкту: «Електромонтажні роботи в приміщенні ЗБУ №11 військової частини А0742»</t>
  </si>
  <si>
    <t>Виготовлення проектно-кошторисної документації  по об'єкту: «Електромонтажні роботи в приміщенні ЗБУ №12 військової частини А0742»; 71240000-2 Архітектурні, інженерні та планувальні послуги за ДК 021:2015 «Єдиний закупівельний словник»</t>
  </si>
  <si>
    <t>Виготовлення проектно-кошторисної документації  по об'єкту: «Електромонтажні роботи в приміщенні ЗБУ №12 військової частини А0742»</t>
  </si>
  <si>
    <t>Виготовлення проектно-кошторисної документації  по об'єкту: «Електромонтажні роботи в приміщенні будинку висотного спорядження військової частини А0742»; 71240000-2 Архітектурні, інженерні та планувальні послуги за ДК 021:2015 «Єдиний закупівельний словник»</t>
  </si>
  <si>
    <t>Виготовлення проектно-кошторисної документації  по об'єкту: «Електромонтажні роботи в приміщенні будинку висотного спорядження військової частини А0742»</t>
  </si>
  <si>
    <t>Ноутбуки; код 30210000-4 Машини для обробки даних (апаратна частина) за ДК 021:2015 «Єдиний закупівельний словник»</t>
  </si>
  <si>
    <t>Ноутбук  ASUS X515EP-BQ328 (90NB0TZ2-M04670)</t>
  </si>
  <si>
    <t>Керекелиця Зоя Григорівна</t>
  </si>
  <si>
    <t xml:space="preserve">Поточний ремонт внутрішньо аеродромних доріг військової частини А0742;  код 45230000-8 Будівництво трубопроводів, ліній зв’язку та електропередач, шосе, доріг, аеродромів і залізничних доріг; вирівнювання поверхонь за ДК 021:2015 «Єдиний закупівельний словник» </t>
  </si>
  <si>
    <t>Поточний ремонт внутрішньо аеродромних доріг військової частини А0742</t>
  </si>
  <si>
    <t>ТОВАРИСТВО З ОБМЕЖЕНОЮ ВІДПОВІДАЛЬНІСТЮ "ХХІ СТОЛІТТЯ-ПЛЮС"</t>
  </si>
  <si>
    <t>Поточний ремонт приміщення будинку висотного спорядження військової частини А0742;  код 45450000-6 Інші завершальні будівельні роботи за ДК 021:2015 «Єдиний закупівельний словник»</t>
  </si>
  <si>
    <t>Поточний ремонт приміщення будинку висотного спорядження військової частини А0742</t>
  </si>
  <si>
    <t>ТОВАРИСТВО З ОБМЕЖЕНОЮ ВІДПОВІДАЛЬНІСТЮ "ПРОМБУДСЕРВІС-КОСІВ"</t>
  </si>
  <si>
    <t>Поточний ремонт системи електропостачання, перегородок та зовнішньої огорожі Ангару військової частини А0742;  код 45450000-6 Інші завершальні будівельні роботи за ДК 021:2015 «Єдиний закупівельний словник»</t>
  </si>
  <si>
    <t>Поточний ремонт системи електропостачання, перегородок та зовнішньої огорожі Ангару військової частини А0742;</t>
  </si>
  <si>
    <t xml:space="preserve">Послуги з організації та проведення навчального семінару з публічних закупівель: авторський практикум Ярослави Дуброви «Майстерність у публічних закупівлях -продажах: навички, стратегії, успіх. Перезаряди мозок!»; код  80510000-2 Послуги з професійної підготовки спеціалістів за ДК 021:2015 «Єдиний закупівельний словник»   </t>
  </si>
  <si>
    <t>Послуги з організації та проведення навчального семінару з публічних закупівель: авторський практикум Ярослави Дуброви «Майстерність у публічних закупівлях -продажах: навички, стратегії, успіх. Перезаряди мозок!»</t>
  </si>
  <si>
    <t>ДУБРОВА ЯРОСЛАВА АНАТОЛІЇВНА</t>
  </si>
  <si>
    <t>Послуги з письмового перекладу; код 79530000-8  Послуги з письмового перекладу за ДК 021:2015 «Єдиний закупівельний словник»</t>
  </si>
  <si>
    <t>Послуги з письмового перекладу</t>
  </si>
  <si>
    <t xml:space="preserve">Замки; код  44520000-1 - Замки, ключі та петлі за ДК 021:2015 «Єдиний закупівельний словник»  </t>
  </si>
  <si>
    <t>Замок короткий; Замок довгий рейковий</t>
  </si>
  <si>
    <t xml:space="preserve">Елементи електричних схем; код  31220000-4 - Елементи електричних схем за ДК 021:2015 «Єдиний закупівельний словник»  </t>
  </si>
  <si>
    <t>Переноска, 5м; Переноска, 4,5м; Переноска, 3м; Розетка електрична; Вилка електрична</t>
  </si>
  <si>
    <t>31220000-4 Елементи електричних схем</t>
  </si>
  <si>
    <t xml:space="preserve">  Рамки; код  39290000-1 - Фурнітура різна за ДК 021:2015 «Єдиний закупівельний словник»  </t>
  </si>
  <si>
    <t>Рамка - багет зі склом А4</t>
  </si>
  <si>
    <t xml:space="preserve">Грамоти, подяки; код  39290000-1 - Фурнітура різна за ДК 021:2015 «Єдиний закупівельний словник»  </t>
  </si>
  <si>
    <t>Грамота А4 картон; Подяка  А4 картон</t>
  </si>
  <si>
    <t xml:space="preserve">Газетний папір, папір ручного виготовлення та інший некрейдований папір або картон для графічних цілей; код  22990000-6 - Газетний папір, папір ручного виготовлення та інший некрейдований папір або картон для графічних цілей за ДК 021:2015 «Єдиний закупівельний словник»   </t>
  </si>
  <si>
    <t>Папір - ватман А4 190 г/м2 Maestro</t>
  </si>
  <si>
    <t xml:space="preserve">Рамки; код  39290000-1 - Фурнітура різна за ДК 021:2015 «Єдиний закупівельний словник»  </t>
  </si>
  <si>
    <t>Рамка А4 зі склом</t>
  </si>
  <si>
    <t>Електромонтажні роботи в приміщенні будинку висотного спорядження військової частини А0742;  код 45310000-3 Електромонтажні роботи за ДК 021:2015  «Єдиний закупівельний словник»</t>
  </si>
  <si>
    <t>Електромонтажні роботи в приміщенні будинку висотного спорядження військової частини А0742</t>
  </si>
  <si>
    <t>Електромонтажні роботи в приміщенні ЗБУ №11 військової частини А0742;  код 45310000-3 Електромонтажні роботи за ДК 021:2015  «Єдиний закупівельний словник»</t>
  </si>
  <si>
    <t>Електромонтажні роботи в приміщенні ЗБУ №11 військової частини А0742</t>
  </si>
  <si>
    <t>Електромонтажні роботи в приміщенні ЗБУ №12 військової частини А0742;  код 45310000-3 Електромонтажні роботи за ДК 021:2015  «Єдиний закупівельний словник»</t>
  </si>
  <si>
    <t>Електромонтажні роботи в приміщенні ЗБУ №12 військової частини А0742</t>
  </si>
  <si>
    <t>Здійснення технічного нагляду за виконанням поточного ремонту в рамках предмету закупівлі:  Поточний ремонт внутрішньо аеродромних доріг військової частини А0742; код 71240000-2 Архітектурні, інженерні та планувальні послуги за ДК 021:2015 «Єдиний закупівельний словник»</t>
  </si>
  <si>
    <t>Здійснення технічного нагляду за виконанням поточного ремонту в рамках предмету закупівлі:  Поточний ремонт внутрішньо аеродромних доріг військової частини А0742</t>
  </si>
  <si>
    <t xml:space="preserve">Здійсненням технічного нагляду за виконанням електромонтажних робіт в рамках предмету закупівлі:  Електромонтажні роботи в приміщенні будинку висотного спорядження військової частини А0742;  код 71240000-2 Архітектурні, інженерні та планувальні послуги за ДК 021:2015 «Єдиний закупівельний словник» 
</t>
  </si>
  <si>
    <t>Здійсненням технічного нагляду за виконанням електромонтажних робіт в рамках предмету закупівлі:  Електромонтажні роботи в приміщенні будинку висотного спорядження військової частини А0742</t>
  </si>
  <si>
    <t xml:space="preserve">Здійснення технічного нагляду за виконанням електромонтажних робіт в рамках предмету закупівлі:  Електромонтажні роботи в приміщенні ЗБУ №12 військової частини А0742;  код 71240000-2 Архітектурні, інженерні та планувальні послуги за ДК 021:2015 «Єдиний закупівельний словник» </t>
  </si>
  <si>
    <t>Здійснення технічного нагляду за виконанням електромонтажних робіт в рамках предмету закупівлі:  Електромонтажні роботи в приміщенні ЗБУ №12 військової частини А0742</t>
  </si>
  <si>
    <t xml:space="preserve">Здійснення технічного нагляду за виконанням електромонтажних робіт в рамках предмету закупівлі:  Електромонтажні роботи в приміщенні ЗБУ №11 військової частини А0742;  код 71240000-2 Архітектурні, інженерні та планувальні послуги за ДК 021:2015 «Єдиний закупівельний словник» 
</t>
  </si>
  <si>
    <t>Здійснення технічного нагляду за виконанням електромонтажних робіт в рамках предмету закупівлі:  Електромонтажні роботи в приміщенні ЗБУ №11 військової частини А0742</t>
  </si>
  <si>
    <t xml:space="preserve">Здійснення технічного нагляду за виконанням поточного ремонту в рамках предмету закупівлі:  Поточний ремонт приміщення будинку висотного спорядження військової частини А0742; код 71240000-2 Архітектурні, інженерні та планувальні послуги за ДК 021:2015 «Єдиний закупівельний словник» </t>
  </si>
  <si>
    <t>Здійснення технічного нагляду за виконанням поточного ремонту в рамках предмету закупівлі:  Поточний ремонт приміщення будинку висотного спорядження військової частини А0742</t>
  </si>
  <si>
    <t xml:space="preserve">Здійснення технічного нагляду за виконанням поточного ремонту в рамках предмету закупівлі:  Поточний ремонт системи електропостачання, перегородок та зовнішньої огорожі Ангару військової частини А0742; код 71240000-2 Архітектурні, інженерні та планувальні послуги за ДК 021:2015 «Єдиний закупівельний словник» </t>
  </si>
  <si>
    <t>Здійснення технічного нагляду за виконанням поточного ремонту в рамках предмету закупівлі:  Поточний ремонт системи електропостачання, перегородок та зовнішньої огорожі Ангару військової частини А0742</t>
  </si>
  <si>
    <t xml:space="preserve">Поточний ремонт території від складу паливо – мастильних матеріалів до паркової зони військової частини А4267, в/м №1, м. Коломия;  код 45230000-8 Будівництво трубопроводів, ліній зв’язку та електропередач, шосе, доріг, аеродромів і залізничних доріг; вирівнювання поверхонь за ДК 021:2015 «Єдиний закупівельний словник» </t>
  </si>
  <si>
    <t>Поточний ремонт території від складу паливо – мастильних матеріалів до паркової зони військової частини А4267, в/м №1, м. Коломия</t>
  </si>
  <si>
    <t>ТОВАРИСТВО З ОБМЕЖЕНОЮ ВІДПОВІДАЛЬНІСТЮ "ТІМ-БУД"</t>
  </si>
  <si>
    <t xml:space="preserve">Здійснення технічного нагляду за виконанням поточного ремонту в рамках предмету закупівлі:  Поточний ремонт території від складу паливо – мастильних матеріалів до паркової зони військової частини А4267, в/м №1, м. Коломия;  код 71240000-2 Архітектурні, інженерні та планувальні послуги за ДК 021:2015 «Єдиний закупівельний словник» </t>
  </si>
  <si>
    <t>Здійснення технічного нагляду за виконанням поточного ремонту в рамках предмету закупівлі:  Поточний ремонт території від складу паливо – мастильних матеріалів до паркової зони військової частини А4267, в/м №1, м. Коломия</t>
  </si>
  <si>
    <t>UA-2023-07-03-010221-a, Додаткова угода про внесення змін до Договору  від 23.06.2023р №311</t>
  </si>
  <si>
    <t>UA-2023-06-29-003666-a, Додаткова угода про внесення змін до Договору  від 21.06.2023р №309</t>
  </si>
  <si>
    <t>UA-2023-07-26-009167-a,       Додаткова угода про внесення змін до Договору  від 20.07.2023р №354</t>
  </si>
  <si>
    <t>UA-2023-07-26-009341-a,      Додаткова угода про внесення змін до Договору  від 20.07.2023р №355</t>
  </si>
  <si>
    <t>UA-2023-07-25-012088-a,  Додаткова угода про внесення змін до Договору  від 20.07.2023р №349</t>
  </si>
  <si>
    <t>UA-2023-07-03-010356-a,    Додаткова угода про внесення змін до Договору  від 26.06.2023р №313</t>
  </si>
  <si>
    <t>UA-2023-07-04-012155-a,     Додаткова угода про внесення змін до Договору  від 27.06.2023р №315</t>
  </si>
  <si>
    <t>UA-2023-07-04-012511-a,      Додаткова угода про внесення змін до Договору  від 27.06.2023р №314</t>
  </si>
  <si>
    <t>UA-2023-07-05-001210-a,   Додаткова угода про внесення змін до Договору  від 27.06.2023р №316</t>
  </si>
  <si>
    <t>Додаткова угода до Договору  від 30.01.2023р №31 про постачання/закупівлю електричної енергії споживачу</t>
  </si>
  <si>
    <t>БФП, мишки; код 30230000-0 Комп’ютерне обладнання за ДК 021:2015 «Єдиний закупівельний словник»</t>
  </si>
  <si>
    <t>UA-2023-06-23-010869-a</t>
  </si>
  <si>
    <t>Андросович Сергій Адамович</t>
  </si>
  <si>
    <t>БФП, мишки</t>
  </si>
  <si>
    <t>30230000-0  Комп’ютерне обладнання</t>
  </si>
  <si>
    <t>3122   Капітальне будівництво (придбання) інших об'єктів</t>
  </si>
  <si>
    <t>ТзОВ "ВГР Сервіс"</t>
  </si>
  <si>
    <t>45000000-7 Будівельні роботи та поточний ремонт</t>
  </si>
  <si>
    <t>ДСТУ Б.Д.1.1-1:2013 «Нове будівництво малого групового будинку по вул.Маковея в місті Коломиї» за кодом CPV за ДК 021:2015 - 45000000-7 (Будівельні роботи та поточний ремонт)</t>
  </si>
  <si>
    <t>UA-2021-10-20-013035-b,    Додаткова угода про внесення змін до Договору підряду №60 від 26.11.2021р.</t>
  </si>
  <si>
    <t xml:space="preserve">ДСТУ Б.Д.1.1-1:2013 «Нове будівництво малого групового будинку по вул.Маковея в місті Коломиї» </t>
  </si>
  <si>
    <t>UA-2023-05-29-005626-a,       Додаткова угода про внесення змін до Договору підряду №238 від 22.05.2023р.</t>
  </si>
  <si>
    <t>UA-2023-05-29-005730-a,            Додаткова угода про внесення змін до Договору підряду №238 від 22.05.2023р.</t>
  </si>
  <si>
    <t>Нове будівництво малого групового будинку по вул. Маковея в м. Коломия (коригування); код 45000000-7 Будівельні роботи та поточний ремонт ДК 021:2015 «Єдиний закупівельний словник»</t>
  </si>
  <si>
    <t>UA-2023-07-07-012066-a</t>
  </si>
  <si>
    <t>Нове будівництво малого групового будинку по вул. Маковея в м. Коломия (коригування)</t>
  </si>
  <si>
    <t xml:space="preserve"> Бакай Ярослав Федорович</t>
  </si>
  <si>
    <t>80520000-5 Навчальні засоби</t>
  </si>
  <si>
    <t>66170000-2 Послуги з надання фінансових консультацій, обробки фінансових транзакцій і клірингові послуги</t>
  </si>
  <si>
    <t>80530000-8 Послуги у сфері професійної підготовки</t>
  </si>
  <si>
    <t>79820000-8 Послуги, пов’язані з друком</t>
  </si>
  <si>
    <t>50720000-8 Послуги з ремонту і технічного обслуговування систем центрального опалення</t>
  </si>
  <si>
    <t>39710000-2 Електричні побутові прилади</t>
  </si>
  <si>
    <t>22410000-7 Марки</t>
  </si>
  <si>
    <t>22810000-1 Паперові чи картонні реєстраційні журнали</t>
  </si>
  <si>
    <t>34110000-1 Легкові автомобілі</t>
  </si>
  <si>
    <t>30197630-1 Папір для друку</t>
  </si>
  <si>
    <t>09134200-9 Дизельне паливо</t>
  </si>
  <si>
    <t>Послуги, пов’язані з навчальними програмами щодо реалізації  проєкту  «Навчання з моїм сусідом — покращення якості освіти через транскордонну співпрацю» 2SOFT/1.1/45</t>
  </si>
  <si>
    <t>Надання фінансових консультацій щодо реалізації  проєкту  «Навчання з моїм сусідом — покращення якості освіти через транскордонну співпрацю» 2SOFT/1.1/45</t>
  </si>
  <si>
    <t>Інформаційно – консультативні послуги з навчання роботі з Системами</t>
  </si>
  <si>
    <t>Поточний ремонт системи опалення будинку висотного спорядження  військової частини А0742</t>
  </si>
  <si>
    <t>Здійснення технічного нагляду за виконанням поточного ремонту по об’єкту:  Поточний ремонт системи опалення будинку висотного спорядження  військової частини А0742</t>
  </si>
  <si>
    <t>Послуги з проведення навчання з ефективної командної взаємодії, комунікації та зворотного зв’язку</t>
  </si>
  <si>
    <t>Крісло офісне ALFA GTP (CH) OH/14 C-11</t>
  </si>
  <si>
    <t>Посвідчення добровольця територіальної оборони</t>
  </si>
  <si>
    <t>Оновлення кредитного рейтингу об’єкта рейтингування за Національною рейтинговою шкалою в першому календарному півріччі поточного календарного року та оновлення рівня інвестиційної привабливості об’єкта рейтингування за Шкалою рівнів інвестиційної привабливості в першому календарному півріччі поточного календарного року</t>
  </si>
  <si>
    <t>Виготовлення проектно-кошторисної документації по об'єкту: «Поточний ремонт системи опалення будинку висотного спорядження військової частини А0742»;</t>
  </si>
  <si>
    <t>Прапор України, двосторонній (2000мм*3000мм); Прапор України (1000мм*1500мм); Прапор УПА (1000мм*1500мм)</t>
  </si>
  <si>
    <t>Нагорода металева "Знак пошани"; Нагорода металева "Щит громади"; Нагорода металева "За відданість громаді"</t>
  </si>
  <si>
    <t>Послуги з друку плакатів</t>
  </si>
  <si>
    <t xml:space="preserve">Папка швидкозшивач карт. (R44096) </t>
  </si>
  <si>
    <t>Медаль "Незламним героям російсько - української війни", арт. ВТО 2022 ; Медаль "За відвагу", арт. ВТО 314-1; Медаль "За оборону рідної держави", арт. ВТО 332-2</t>
  </si>
  <si>
    <t>Поточний ремонт системи опалення адміністративного приміщення Коломийського управління державної казначейської служби України м. Коломия, бульвар Лесі Українки, 41</t>
  </si>
  <si>
    <t>Пакети для сміття AZ (50шт) HDPE на 20л; Пакети для сміття з ручками (35/30шт) HDPE на 35л; Chisto мішки для сміття 35л*30 шт; Chisto мішки для сміття 60л*30 шт; Пакети AZ (30шт) HDPE на 60л; Пакети AZ (30шт) HDPE на 160л</t>
  </si>
  <si>
    <t>Туалетний папір «Кохавинка» 8шт 2-шарові; Рушник  «Обухівський» целюлозний 2-шарові 2 рулони на гільзі білий; Туалетний папір «Кохавинка» (Втулка Велетень) 8рул; Серветки целюлозні Фрекен Бок (15,7*16) 5 шт; Рушники «Диво» целюлозні 2-шарові білий Optima</t>
  </si>
  <si>
    <t>Рукавиці господарські робочі (трикотажні); Рукавиці латексні господарські; Рукавиці латексні господарські</t>
  </si>
  <si>
    <t>Запаска – МОР Color для швабри ; Універсальний набір серветок   «Фрекен Бок» (38*37 см) (3шт); Губки кухонні з ВелПорами «Бонус» (5шт); Ганчірки для підлоги «Бонус» (4шт)</t>
  </si>
  <si>
    <t>Рідке мило «Ароматизоване» (5л) ; Засіб для миття підлоги «Гірські квіти» (універсальний 5л) Gallus; Гель для туалету з відбілювачем «YPLON GEL» Цитрус  (1л); Поліроль (засіб для чищення меблів) ТОТО «Galax» ; SAVO Універсальний спрей проти плісняви ; Засіб для миття вікон  «Window»  (1л); Білизна  Калушанка (5л); Господарське мило класичне Друг; Білизна  Калушанка (1л)</t>
  </si>
  <si>
    <t>Автоматична сушарка для рук Trento серія  Professional 1800W нержавіюча сталь</t>
  </si>
  <si>
    <t>Знаки поштової оплати</t>
  </si>
  <si>
    <t>Блокноти А5 на 96 аркушів; Блокноти А4 на 48 аркушів</t>
  </si>
  <si>
    <t>Ручка пластикова з символікою міста; Флешка 64 Гб з символікою міста</t>
  </si>
  <si>
    <t>Вітальна адреса А4 на дерев'яній основі; Вітальна адреса А5 на дерев'яній основі</t>
  </si>
  <si>
    <t>Вітальна адреса А5 на дерев'яній основі</t>
  </si>
  <si>
    <t>Придбання транспортного засобу</t>
  </si>
  <si>
    <t>Дизельне паливо</t>
  </si>
  <si>
    <t>Суміш асфальтобетонна тип Б марка 1</t>
  </si>
  <si>
    <t>Послуги, пов’язані з навчальними програмами щодо реалізації  проєкту  «Навчання з моїм сусідом — покращення якості освіти через транскордонну співпрацю» 2SOFT/1.1/45; код 80520000-5 - Навчальні засоби за ДК 021:2015  «Єдиний закупівельний словник»</t>
  </si>
  <si>
    <t>Надання фінансових консультацій щодо реалізації  проєкту  «Навчання з моїм сусідом — покращення якості освіти через транскордонну співпрацю» 2SOFT/1.1/45; код 66170000-2 - Послуги з надання фінансових консультацій, обробки фінансових транзакцій і клірингові послуги  за ДК 021:2015  «Єдиний закупівельний словник»</t>
  </si>
  <si>
    <t>Консультативні послуги щодо реалізації  проєкту  «Навчання з моїм сусідом — покращення якості освіти через транскордонну співпрацю» 2SOFT/1.1/45; код 79420000-4 - Управлінські послуги  за ДК 021:2015  «Єдиний закупівельний словник»</t>
  </si>
  <si>
    <t>Інформаційно – консультативні послуги з навчання роботі з Системами; код 80530000-8 – Послуги у сфері професійної підготовки за ДК 021:2015  «Єдиний закупівельний словник»</t>
  </si>
  <si>
    <t>Поточний ремонт системи опалення будинку висотного спорядження  військової частини А0742;  код  45450000-6 Інші завершальні будівельні роботи за ДК 021:2015 «Єдиний закупівельний словник»</t>
  </si>
  <si>
    <t>Здійснення технічного нагляду за виконанням поточного ремонту по об’єкту:  Поточний ремонт системи опалення будинку висотного спорядження  військової частини А0742; код 71240000-2 Архітектурні, інженерні та планувальні послуги за ДК 021:2015 «Єдиний закупівельний словник»   очікуваною вартістю 18 983,11 грн.</t>
  </si>
  <si>
    <t xml:space="preserve">Послуги з проведення навчання з ефективної командної взаємодії, комунікації та зворотного зв’язку;  код  80510000-2 - Послуги з професійної підготовки спеціалістів  за ДК 021:2015 «Єдиний закупівельний словник»
</t>
  </si>
  <si>
    <t>Крісла офісні; код 39110000-6 - Сидіння, стільці та супутні вироби і частини до них за ДК 021:2015 «Єдиний закупівельний словник»</t>
  </si>
  <si>
    <t>Посвідчення;  код 22450000-9 - Друкована продукція з елементами захисту за ДК 021:2015 «Єдиний закупівельний словник»</t>
  </si>
  <si>
    <t>Оновлення кредитного рейтингу об’єкта рейтингування за Національною рейтинговою шкалою в першому календарному півріччі поточного календарного року та оновлення рівня інвестиційної привабливості об’єкта рейтингування за Шкалою рівнів інвестиційної привабливості в першому календарному півріччі поточного календарного року; код 66170000-2 Послуги з надання фінансових консультацій, обробки фінансових транзакцій і клірингові послуги за ДК 021:2015 «Єдиний закупівельний словник»</t>
  </si>
  <si>
    <t xml:space="preserve">Виготовлення проектно-кошторисної документації по об'єкту: «Поточний ремонт системи опалення будинку висотного спорядження військової частини А0742»; код 71240000-2 Архітектурні, інженерні та планувальні послуги за ДК 021:2015 «Єдиний закупівельний словник»  </t>
  </si>
  <si>
    <t>Прапори; код 35820000-8 Допоміжне екіпірування за ДК 021:2015 «Єдиний закупівельний словник»</t>
  </si>
  <si>
    <t xml:space="preserve">Придбання нагород; код 18510000-7  Ювелірні вироби та супутні товари за ДК 021:2015 «Єдиний закупівельний словник» </t>
  </si>
  <si>
    <t xml:space="preserve">Послуги з друку плакатів; код 79820000-8 Послуги, пов'язані з друком за ДК 021:2015 «Єдиний закупівельний словник» </t>
  </si>
  <si>
    <t>Швидкозшивачі та супутнє приладдя; код 22850000-3 Швидкозшивачі та супутнє приладдя за ДК 021:2015  «Єдиний закупівельний словник»</t>
  </si>
  <si>
    <t xml:space="preserve">Поточний ремонт системи опалення адміністративного приміщення Коломийського управління державної казначейської служби України м. Коломия, бульвар Лесі Українки, 41;  код  50720000-8	Послуги з ремонту і технічного обслуговування систем центрального опалення  за ДК 021:2015 «Єдиний закупівельний словник»  </t>
  </si>
  <si>
    <t>Поліетиленові мішки та пакети для сміття; код 19640000-4 Поліетиленові мішки та пакети для сміття за ДК 021:2015  «Єдиний закупівельний словник»</t>
  </si>
  <si>
    <t>Туалетний папір, носові хустинки, рушники для рук і серветки; код 33760000-5 Туалетний папір, носові хустинки, рушники для рук і серветки за ДК 021:2015  «Єдиний закупівельний словник»</t>
  </si>
  <si>
    <t>Аксесуари до робочого одягу; код 18140000-2  Аксесуари до робочого одягу  за ДК 021:2015  «Єдиний закупівельний словник»</t>
  </si>
  <si>
    <t>Готові текстильні вироби; код 39520000-3 Готові текстильні вироби за ДК 021:2015  «Єдиний закупівельний словник»</t>
  </si>
  <si>
    <t>Продукція для чищення; код 39830000-9 Продукція для чищення за ДК 021:2015  «Єдиний закупівельний словник»</t>
  </si>
  <si>
    <t xml:space="preserve">Автоматична сушарка для рук;  код  39710000-2 - Електричні побутові прилади  за 
ДК 021:2015 «Єдиний закупівельний словник»
</t>
  </si>
  <si>
    <t>Знаки поштової оплати; код 22410000-7 Марки за ДК 021:2015 «Єдиний закупівельний словник»</t>
  </si>
  <si>
    <t>Блокноти; код  22810000-1 - Паперові чи картонні реєстраційні журнали за ДК 021:2015 «Єдиний закупівельний словник»</t>
  </si>
  <si>
    <t>Інформаційна та рекламна продукція; код  39290000-1 - Фурнітура різна за ДК 021:2015 «Єдиний закупівельний словник»</t>
  </si>
  <si>
    <t>Вітальна адреса; код  22320000-9 – Вітальні листівки за ДК 021:2015 «Єдиний закупівельний словник»</t>
  </si>
  <si>
    <t>Надання кейтерингових послуг; код 55520000-1 - Кейтерингові послуги за ДК 021:2015 «Єдиний закупівельний словник»</t>
  </si>
  <si>
    <t>Придбання транспортного засобу;  код  34110000-1 Легкові автомобілі за ДК 021:2015 «Єдиний закупівельний словник»:Придбання транспортного засобу;  код  34110000-1 Легкові автомобілі за ДК 021:2015 «Єдиний закупівельний словник»</t>
  </si>
  <si>
    <t xml:space="preserve">Папір для друку, код - 30190000-7 Офісне устаткування та приладдя різне  за ДК 021:2015 «Єдиний закупівельний словник» :Папір для друку, код - 30190000-7 Офісне устаткування та приладдя різне  за ДК 021:2015 «Єдиний закупівельний словник» </t>
  </si>
  <si>
    <t xml:space="preserve">Дизельне паливо;  код 09130000-9 Нафта і дистиляти  за ДК 021:2015 «Єдиного закупівельного словника» :Дизельне паливо;  код 09130000-9 Нафта і дистиляти  за ДК 021:2015 «Єдиного закупівельного словника» </t>
  </si>
  <si>
    <t>Суміш асфальтобетонна тип Б марка 1, код - 44110000-4 Конструкційні матеріали  за ДК 021:2015 "Єдиний закупівельний словник":Суміш асфальтобетонна тип Б марка 1, код - 44110000-4 Конструкційні матеріали  за ДК 021:2015 «Єдиний закупівельний словник»</t>
  </si>
  <si>
    <t>3066706403</t>
  </si>
  <si>
    <t>20540164</t>
  </si>
  <si>
    <t>31752402</t>
  </si>
  <si>
    <t>1965605317</t>
  </si>
  <si>
    <t>3036019055</t>
  </si>
  <si>
    <t>3029419093</t>
  </si>
  <si>
    <t>13646519</t>
  </si>
  <si>
    <t>21560045</t>
  </si>
  <si>
    <t>3636905732</t>
  </si>
  <si>
    <t>2884311793</t>
  </si>
  <si>
    <t>3573310146</t>
  </si>
  <si>
    <t>20546451</t>
  </si>
  <si>
    <t>2156704211</t>
  </si>
  <si>
    <t>ТОВАРИСТВО З ОБМЕЖЕНОЮ ВІДПОВІДАЛЬНІСТЮ "КРЕДИТ-РЕЙТИНГ"</t>
  </si>
  <si>
    <t>МАТЧЕНКО ВАСИЛЬ СТЕПАНОВИЧ</t>
  </si>
  <si>
    <t>ТОВАРИСТВО З ОБМЕЖЕНОЮ ВІДПОВІДАЛЬНІСТЮ "КОЛОМИЯСІЛЬГАЗ"</t>
  </si>
  <si>
    <t>ДЕРЕВАЦЬКИЙ ІЛЛЯ ВСЕВОЛОДОВИЧ</t>
  </si>
  <si>
    <t xml:space="preserve"> Вівчарик Ірина Іванівна</t>
  </si>
  <si>
    <t>ПВКФ "В.С.К."</t>
  </si>
  <si>
    <t>ФОП "БОДНАРЧУК ВАСИЛЬ ДМИТРОВИЧ"</t>
  </si>
  <si>
    <t>433</t>
  </si>
  <si>
    <t>434</t>
  </si>
  <si>
    <t>439</t>
  </si>
  <si>
    <t>441</t>
  </si>
  <si>
    <t>440</t>
  </si>
  <si>
    <t>436</t>
  </si>
  <si>
    <t>426</t>
  </si>
  <si>
    <t>431</t>
  </si>
  <si>
    <t>432</t>
  </si>
  <si>
    <t>429</t>
  </si>
  <si>
    <t>430</t>
  </si>
  <si>
    <t>428</t>
  </si>
  <si>
    <t>425</t>
  </si>
  <si>
    <t>420</t>
  </si>
  <si>
    <t>421</t>
  </si>
  <si>
    <t>423</t>
  </si>
  <si>
    <t>422</t>
  </si>
  <si>
    <t>424</t>
  </si>
  <si>
    <t>419</t>
  </si>
  <si>
    <t>415</t>
  </si>
  <si>
    <t>416</t>
  </si>
  <si>
    <t>414</t>
  </si>
  <si>
    <t>413</t>
  </si>
  <si>
    <t>418</t>
  </si>
  <si>
    <t>417</t>
  </si>
  <si>
    <t>427</t>
  </si>
  <si>
    <t>412</t>
  </si>
  <si>
    <t>410</t>
  </si>
  <si>
    <t>411</t>
  </si>
  <si>
    <t>Консультативні послуги щодо реалізації  проєкту  «Навчання з моїм сусідом — покращення якості освіти через транскордонну співпрацю» 2SOFT/1.1/45</t>
  </si>
  <si>
    <t xml:space="preserve"> 0110150                       0117693                               0118220</t>
  </si>
  <si>
    <t>0110150            0117693                          0118220</t>
  </si>
  <si>
    <t>UA-2023-08-30-008251-a,  Додаткова угода про внесення змін до Договору підряду №385 від 24.08.2023</t>
  </si>
  <si>
    <t>UA-2023-09-04-006825-a, Додаткова угода про внесення змін до Договору №402 від 28.07.2023</t>
  </si>
  <si>
    <t xml:space="preserve">UA-2023-08-30-010601-a    Додаткова угода про внесення змін до Договору №395  від 25.08.2023 </t>
  </si>
  <si>
    <t xml:space="preserve">UA-2023-05-29-005730-a  Додаткова угода про внесення змін до Договору №239  від 22.05.2023 </t>
  </si>
  <si>
    <t xml:space="preserve">UA-2023-09-04-007012-a   Додаткова угода про внесення змін до Договору №404  від 28.08.2023 </t>
  </si>
  <si>
    <t xml:space="preserve">UA-2023-08-30-010601-a  Додаткова угода про внесення змін до Договору №399  від 28.08.2023 </t>
  </si>
  <si>
    <t xml:space="preserve">UA-2023-09-05-001273-a   Додаткова угода про внесення змін до Договору №405  від 28.08.2023 </t>
  </si>
  <si>
    <t>Букреєва Яна Олександрівна</t>
  </si>
  <si>
    <t>ДП "Національні інформаційні системи"</t>
  </si>
  <si>
    <t xml:space="preserve"> Фількин Олександр Вікторович</t>
  </si>
  <si>
    <t>Медвідь Надія Петрівна</t>
  </si>
  <si>
    <t xml:space="preserve"> Городчук Валерія Тарасівна</t>
  </si>
  <si>
    <t>Сопов Артем Олександрович</t>
  </si>
  <si>
    <t>Стефанюк Роман Миколайович</t>
  </si>
  <si>
    <t xml:space="preserve"> Кузенко Оксана Василівна</t>
  </si>
  <si>
    <t xml:space="preserve"> Семенчук Богдан Васильович</t>
  </si>
  <si>
    <t xml:space="preserve"> Ситнік Андрій Сергійович</t>
  </si>
  <si>
    <t>42130000-9 Арматура трубопровідна: крани, вентилі, клапани та подібні пристрої</t>
  </si>
  <si>
    <t>98390000-3 Інші послуги</t>
  </si>
  <si>
    <t>39370000-6 Водопровідне обладнання</t>
  </si>
  <si>
    <t>44410000-7 Вироби для ванної кімнати та кухні</t>
  </si>
  <si>
    <t>44530000-4 Кріпильні деталі</t>
  </si>
  <si>
    <t>45340000-2 Зведення огорож, монтаж поручнів і захисних засобів</t>
  </si>
  <si>
    <t>38520000-6 Сканери</t>
  </si>
  <si>
    <t>44320000-9 Кабелі та супутня продукція</t>
  </si>
  <si>
    <t>31210000-1 Електрична апаратура для комутування та захисту електричних кіл</t>
  </si>
  <si>
    <t>31510000-4 Електричні лампи розжарення</t>
  </si>
  <si>
    <t>31520000-7 Світильники та освітлювальна арматура</t>
  </si>
  <si>
    <t>79970000-4 Видавничі послуги</t>
  </si>
  <si>
    <t>31120000-3 Генератори</t>
  </si>
  <si>
    <t>70340000-6 Послуги з надавання нерухомості у спільне користування в режимі розподілу часу</t>
  </si>
  <si>
    <t>71247000-1 Нагляд за будівельними роботами</t>
  </si>
  <si>
    <t>09134200-9 Дизельне паливо;09132000-3 Бензин</t>
  </si>
  <si>
    <t>31170000-8 Трансформатори</t>
  </si>
  <si>
    <t>Арматура №12 А 500С міра L=12000</t>
  </si>
  <si>
    <t xml:space="preserve">Прапор з символікою 95х60см </t>
  </si>
  <si>
    <t>Оплата за користування нерухомим майном АТ «Укртелеком»</t>
  </si>
  <si>
    <t>Поточний ремонт території внутрішнього двору Коломийського районного відділу поліції за адресою вул. Шевченка, 11-А, м. Коломия</t>
  </si>
  <si>
    <t>Фільтр вода AW-економ 2"</t>
  </si>
  <si>
    <t>Кран AW-stand. вода 1/2 в/з (607); Кран 1/2 поливочний  SELBA; Кран кут-шар.1/2-1/2 Invena; Кришка д-унiтазу К PRESIDENT PT; Начинка унiтаза Cersanit 2-ох кнопочного; Поплавок для унiтаза 1/2 нижнiй пiдвiд; Коліно ПЕ 50*50  Т; Коліно ПЕ 50*11/2  РЗ  Т; Сиф."NOVA" для мийки 3 1/2 з перел.(1047N); Муфта ПЕ 50*50 Т; Зм.Zegor мийка U YUB-A279; Начинка унiтаза CERSANIT 1-о кнопочна</t>
  </si>
  <si>
    <t>Конвектор електричний Wild Wind 2.0 - M; Опори пасивні ел. конвектора КОП - 03; Опори активні ел. конвектора КОА - 03</t>
  </si>
  <si>
    <t>Профнастил Т-12 кольоровий 0,40 Корея; Вітрова -3 2,00м кольоровий  0,40мм  Корея; Спецпланка - 2 2,00м кольоровий  0,40мм  Корея; Снігозатримувач кольоровий  0,40мм  Корея; Мембрана дахова MY DYNAMIC EX; 4ROOF/Стрічка підгребнева Izovent Metal 230мм*5м</t>
  </si>
  <si>
    <t>Самонаріз WM фермер. для кріплення  в дерево 4,8х35 п=250</t>
  </si>
  <si>
    <t>Кільце d=1.5; Днище  d=1.5; Кришка  d=1.5; Фундаментний блок 24-4-6</t>
  </si>
  <si>
    <t>Персональний комп'ютер; Ноутбук</t>
  </si>
  <si>
    <t>Монтаж огорожі для дизельного генератора за адресою: м. Коломия, пл. Привокзальна, 2а/1</t>
  </si>
  <si>
    <t>Сканер Fujitsu SV600 A3</t>
  </si>
  <si>
    <t>Принтер; БФП; БФП (дуплексний); SSD накопичувач; Мишка дротова; Клавіатура</t>
  </si>
  <si>
    <t>Встановлення систем охоронної сигналізації</t>
  </si>
  <si>
    <t>Вертикальні жалюзі Apollon 031, розмір 1,13х1,82</t>
  </si>
  <si>
    <t>Кабель ШВВП  3х2,5; Кабель ШВВП 3х1,5; Гофра d=25; Гофра d=18; Кабель АВВГ  3х25</t>
  </si>
  <si>
    <t>Автомат 16А; Автомат однополюсний 25А; Автомат однофазний 32А; Автомат триполюсний 63А; Автомат 80А трьохфазний</t>
  </si>
  <si>
    <t>Короб білий 25х16; Розетка накладна; Наконечник 25; Наконечник 16</t>
  </si>
  <si>
    <t xml:space="preserve">Лампа LED Osram A60 10W  E27  220V 3000K; Лампа LED Osram 14W  </t>
  </si>
  <si>
    <t>Світильник LED панель ВТН 60*60 23W 3300 Lm  40 К мат.</t>
  </si>
  <si>
    <t>Блокнот на спіралі Talens Art Creation 110 г, 14х21 см, 80л, Royal Talens</t>
  </si>
  <si>
    <t>Термочашка Ardesto Urban 500 мл</t>
  </si>
  <si>
    <t>Кепка з символікою міста; Футболки з символікою міста</t>
  </si>
  <si>
    <t>Позачергова технічна перевірка однофазного засобу комерційного обліку електричної енергії в електромережах напругою 0,22 кВ (48)</t>
  </si>
  <si>
    <t xml:space="preserve">Сервісне обслуговування та поточний ремонт транспортного засобу, а саме легкового автомобіля Ford KUGA (№WFOFXXWPMFMR35208) реєстраційний номер АТ9887НС: </t>
  </si>
  <si>
    <t>Виготовлення проектно-кошторисної документації по об'єкту: «Поточний ремонт зовнішньої мережі електропостачання до будинку висотного спорядження військової частини А0742»</t>
  </si>
  <si>
    <t>Виготовлення проектно-кошторисної документації по об'єкту: «Поточний ремонт будівлі транспортної ескадрильї  військової частини А0742»</t>
  </si>
  <si>
    <t>Створення та розміщення банерів на вшанування пам'яті загиблих військовослужбовців у російсько - українській війні; Створення та розміщення інформаційних таблиць на вшанування пам'яті загиблих військовослужбовців у російсько - українській війні; Створення та розміщення банерів про "Пункти незламності"</t>
  </si>
  <si>
    <t>Поточний ремонт будівлі транспортної ескадрильї  військової частини А0742</t>
  </si>
  <si>
    <t>Послуги з проведення навчального авторського воркшопу: «Договірна робота, контроль, відповідальність у публічних закупівлях  - управляємо ризиками»</t>
  </si>
  <si>
    <t>Послуги з розподілу природного газу</t>
  </si>
  <si>
    <t>Послуги з друку 50 погосподарських книг, формат А4, 100 аркушів</t>
  </si>
  <si>
    <t>Послуги з друку 530 календарів, формат А3, 20 аркушів</t>
  </si>
  <si>
    <t>Тканинна сумка</t>
  </si>
  <si>
    <t>Послуги обов'язкового страхування цивільно - правової відповідальності власників наземних транспортних засобів: SHEVROLET EPIKA д.н.з. АТ0033АР,   VOLKSWAGEN PASSAT д.н.з. АТ0033ВН,RENAULT DUSTER д.н.з. АТ3826ІА, FORD KUGA  д.н.з. АТ9887НС</t>
  </si>
  <si>
    <t>Поточний ремонт зовнішньої мережі електропостачання до будинку висотного спорядження   військової частини А0742</t>
  </si>
  <si>
    <t>Здійснення технічного нагляду за виконанням поточного ремонту по об’єкту:  Поточний ремонт будівлі транспортної ескадрильї  військової частини А0742</t>
  </si>
  <si>
    <t>Здійснення технічного нагляду за виконанням поточного ремонту по об’єкту:  Поточний ремонт зовнішньої мережі електропостачання до будинку висотного спорядження   військової частини А0742</t>
  </si>
  <si>
    <t>Демонтаж рекламних засобів на території Коломийської міської територіальної громади;</t>
  </si>
  <si>
    <t>Медаль «За відвагу», арт.ВТО_314-1; Медаль «За хоробрість в бою», арт.ВТО_314-2; Медаль капелана,  PRO DEO ET PATRIA арт.ВТО_322-5</t>
  </si>
  <si>
    <t>Блок багатоканальної швидкої зарядки «Bandera Power 225S»</t>
  </si>
  <si>
    <t>Прожектор пошуковий Bandera Flashlight.1X</t>
  </si>
  <si>
    <t>Інверторний генератор РТ-4000С</t>
  </si>
  <si>
    <t xml:space="preserve">Послуги з друку 55 погосподарських книг, формат А4, 100 аркушів </t>
  </si>
  <si>
    <t>Експлуатаційні послуги, пов’язані з утриманням будинку</t>
  </si>
  <si>
    <t>Посвідчення особи з фото та вмонтованим RFID чіпом</t>
  </si>
  <si>
    <t>Послуги у сфері інформатизації; (видалене); (видалене); (видалене)</t>
  </si>
  <si>
    <t>Здійснення технічного нагляду під час будівництва об’єкта: «Нове будівництво малого групового будинку по вул. Маковея в м. Коломия (коригування)»</t>
  </si>
  <si>
    <t>Дизельне паливо; Бензин А-95</t>
  </si>
  <si>
    <t>Віконний блок м/п, колір зовн. Антрацит, вн. Білий (1460мм*1160мм)</t>
  </si>
  <si>
    <t>Гвинт ТЕХ 5,5/6,3   130мм; Гвинт ТЕХ 5,5/6,3   200мм</t>
  </si>
  <si>
    <t>Спецпланка (200)  7024; Спецпланка (310)  7024; Спецпланка (235)  7024; Спецпланка (385)  7024; Спецпланка (190)  7024; Спецпланка (140)  7024; Сендвіч - панель СПСм - 100; Сендвіч - панель СПДм - 120</t>
  </si>
  <si>
    <t>Трансформатор ТМГ- 1000/6/0,4 (У/Ун-0)</t>
  </si>
  <si>
    <t>01186030</t>
  </si>
  <si>
    <t>2439605568</t>
  </si>
  <si>
    <t>39075822</t>
  </si>
  <si>
    <t>3180704449</t>
  </si>
  <si>
    <t>41263186</t>
  </si>
  <si>
    <t>40329476</t>
  </si>
  <si>
    <t>3171604499</t>
  </si>
  <si>
    <t>45032336</t>
  </si>
  <si>
    <t>2300601460</t>
  </si>
  <si>
    <t>3235207435</t>
  </si>
  <si>
    <t>1226206165</t>
  </si>
  <si>
    <t>32077336</t>
  </si>
  <si>
    <t>33909174</t>
  </si>
  <si>
    <t>2719618023</t>
  </si>
  <si>
    <t>45371501</t>
  </si>
  <si>
    <t>2824304657</t>
  </si>
  <si>
    <t>3168807390</t>
  </si>
  <si>
    <t>33932580</t>
  </si>
  <si>
    <t>2987311026</t>
  </si>
  <si>
    <t>41230229</t>
  </si>
  <si>
    <t>2492611118</t>
  </si>
  <si>
    <t>1890905931</t>
  </si>
  <si>
    <t>2732717157</t>
  </si>
  <si>
    <t>ЛЬВІВСЬКА ФІЛІЯ АКЦІОНЕРНОГО ТОВАРИСТВА "УКРТЕЛЕКОМ"</t>
  </si>
  <si>
    <t>СМЕРЕК ОЛЬГА МИКОЛАЇВНА</t>
  </si>
  <si>
    <t>ТОВАРИСТВО З ОБМЕЖЕНОЮ ВІДПОВІДАЛЬНІСТЮ "МІЖ-БУД"</t>
  </si>
  <si>
    <t>НОСОВА ІННА АНАТОЛІЇВНА</t>
  </si>
  <si>
    <t>ТОВ "ТОРГОВИЙ ДІМ "ПАРТНЕР АЙ ТІ"</t>
  </si>
  <si>
    <t>ПРИВАТНЕ ПІДПРИЄМСТВО "ВИРОБНИЧО-ТОРГОВА ФІРМА "КНЯЖДВІРСЬКА"</t>
  </si>
  <si>
    <t>СТЕФАНЮК РОМАН МИКОЛАЙОВИЧ</t>
  </si>
  <si>
    <t>ТОВ 2629</t>
  </si>
  <si>
    <t>Соснова Оксана Богданівна</t>
  </si>
  <si>
    <t>Фізична особа- підприємець Шевчик Іванна Осипівна</t>
  </si>
  <si>
    <t>ТОВАРИСТВО З ОБМЕЖЕНОЮ ВІДПОВІДАЛЬНІСТЮ "АЛЬЯНС-А"</t>
  </si>
  <si>
    <t>Фізична особа - підприємець Городчук Валерія Тарасівна</t>
  </si>
  <si>
    <t>ІВАНО-ФРАНКІВСЬКА ФІЛІЯ ТОВАРИСТВА З ОБМЕЖЕНОЮ ВІДПОВІДАЛЬНІСТЮ "ГАЗОРОЗПОДІЛЬНІ МЕРЕЖІ УКРАЇНИ"</t>
  </si>
  <si>
    <t>МЕЛЬНИК ТАРАС АНАТОЛІЙОВИЧ</t>
  </si>
  <si>
    <t>ГОРАЛЬ ІГОР МИРОСЛАВОВИЧ</t>
  </si>
  <si>
    <t>Фізична особа - підприємець Сопов Артем Олександрович</t>
  </si>
  <si>
    <t>КОСОВАН ОЛЕКСАНДРА ЮРІЇВНА</t>
  </si>
  <si>
    <t>ОБ'ЄДНАННЯ СПІВВЛАСНИКІВ БАГАТОКВАРТИРНОГО БУДИНКУ "ШЕВЧЕНКА 21"</t>
  </si>
  <si>
    <t>СКІЦЬКО ІГОР ВАСИЛЬОВИЧ</t>
  </si>
  <si>
    <t>ТИШКІВСЬКИЙ СТЕФАН ВАСИЛЬОВИЧ</t>
  </si>
  <si>
    <t>КОМАРА ВАЛЕРІЙ СТЕПАНОВИЧ</t>
  </si>
  <si>
    <t>Придбання арматури; код 42130000-9 - Арматура трубопровідна: крани, вентилі, клапани та подібні пристрої  за ДК 021:2015 «Єдиний закупівельний словник»</t>
  </si>
  <si>
    <t xml:space="preserve">Прапори;  код  35820000-8 – Допоміжне екіпірування за ДК 021:2015 «Єдиний закупівельний словник»  </t>
  </si>
  <si>
    <t xml:space="preserve">Оплата за користування нерухомим майном АТ «Укртелеком»; код 98390000-3 - Інші послуги  за ДК 021:2015 «Єдиний закупівельний словник» </t>
  </si>
  <si>
    <t xml:space="preserve">Поточний ремонт території внутрішнього двору Коломийського районного відділу поліції за адресою вул. Шевченка, 11-А, м. Коломия;  код  45230000-8 - Будівництво трубопроводів, ліній зв’язку та електропередач, шосе, доріг, аеродромів і залізничних доріг; вирівнювання поверхонь за ДК 021:2015 «Єдиний закупівельний словник» </t>
  </si>
  <si>
    <t xml:space="preserve">Фільтр;  код 39370000-6 – Водопровідне обладнання за ДК 021:2015 «Єдиний закупівельний словник» </t>
  </si>
  <si>
    <t xml:space="preserve">Вироби для ванної кімнати та кухні ; код 44410000-7 - Вироби для ванної кімнати та кухні за ДК 021:2015 «Єдиний закупівельний словник»  </t>
  </si>
  <si>
    <t xml:space="preserve">Електричні побутові прилади;  код  39710000-2 – Електричні побутові прилади за ДК 021:2015 «Єдиний закупівельний словник» </t>
  </si>
  <si>
    <t xml:space="preserve">Придбання будівельних матеріалів; код 44110000-4 Конструкційні матеріали за ДК 021:2015 «Єдиний закупівельний словник» </t>
  </si>
  <si>
    <t xml:space="preserve">Кріпильні деталі; код 44530000-4 – Кріпильні деталі за ДК 021:2015 «Єдиний закупівельний словник» </t>
  </si>
  <si>
    <t xml:space="preserve">Конструкційні матеріали; код 44110000-4 Конструкційні матеріали за ДК 021:2015 «Єдиний закупівельний словник» </t>
  </si>
  <si>
    <t>Персональні комп’ютери, ноутбук; код 30210000-4 Машини для обробки даних (апаратна частина) за ДК 021:2015 «Єдиний закупівельний словник»:Персональні комп’ютери, ноутбук; код 30210000-4 Машини для обробки даних (апаратна частина) за ДК 021:2015 «Єдиний закупівельний словник»</t>
  </si>
  <si>
    <t xml:space="preserve">Монтаж огорожі для дизельного генератора за адресою: м. Коломия, пл. Привокзальна, 2а/1; код 45340000-2 – Зведення огорож, монтаж поручнів і захисних засобів  за ДК 021:2015 «Єдиний закупівельний словник» </t>
  </si>
  <si>
    <t xml:space="preserve">Придбання сканера ; код 35820000-6 - Сканери за ДК 021:2015 «Єдиний закупівельний словник» </t>
  </si>
  <si>
    <t>Принтер, БФП, SSD, мишки та клавіатури; код 30230000-0 Комп’ютерне обладнання за ДК 021:2015 «Єдиний закупівельний словник»:Принтер, БФП, SSD, мишки та клавіатури; код 30230000-0 Комп’ютерне обладнання за ДК 021:2015 «Єдиний закупівельний словник»</t>
  </si>
  <si>
    <t>Встановлення систем охоронної сигналізації; код 45310000-3 Електромонтажні роботи  за ДК 021:2015  «Єдиний закупівельний словник»</t>
  </si>
  <si>
    <t xml:space="preserve">Вертикальні жалюзі; код 39510000-0 – Вироби домашнього текстилю за ДК 021:2015 «Єдиний закупівельний словник»   </t>
  </si>
  <si>
    <t xml:space="preserve">Кабелі та супутня продукція; код 44320000-9 – Кабелі та супутня продукція за ДК 021:2015 «Єдиний закупівельний словник»   </t>
  </si>
  <si>
    <t xml:space="preserve">Електрична апаратура для комутування та захисту електричних кіл ; код 31210000-1 - Електрична апаратура для комутування та захисту електричних кіл за ДК 021:2015 «Єдиний закупівельний словник»   </t>
  </si>
  <si>
    <t xml:space="preserve">  Елементи електричних схем; код 31220000-4 – Елементи електричних схем  за ДК 021:2015 «Єдиний закупівельний словник» </t>
  </si>
  <si>
    <t xml:space="preserve">Електричні лампи; код 31510000-4 – Електричні лампи розжарення за ДК 021:2015 «Єдиний закупівельний словник»  </t>
  </si>
  <si>
    <t xml:space="preserve">Світильники; код 31520000-7 – Світильники та освітлювальна арматура за ДК 021:2015 «Єдиний закупівельний словник»  </t>
  </si>
  <si>
    <t xml:space="preserve">Блокноти; код 22810000-1 - Паперові чи картонні реєстраційні журнали за ДК 021:2015 «Єдиний закупівельний словник» </t>
  </si>
  <si>
    <t xml:space="preserve">Термочашки; код 18530000-3 - Подарунки та нагороди за ДК 021:2015 «Єдиний закупівельний словник» </t>
  </si>
  <si>
    <t xml:space="preserve">Кепки, футболки; код 39290000-1 - Фурнітура різна за ДК 021:2015 «Єдиний закупівельний словник» </t>
  </si>
  <si>
    <t xml:space="preserve">     Позачергова технічна перевірка однофазного засобу комерційного обліку електричної енергії в електромережах напругою 0,22 кВ (48); код 50410000-2 Послуги з ремонту і технічного обслуговування вимірювальних, випробувальних і контрольних приладів за ДК 021:2015 «Єдиний закупівельний словник»  </t>
  </si>
  <si>
    <t xml:space="preserve">Позачергова технічна перевірка трифазного засобу комерційного обліку електричної енергії в електромережах напругою 0,4 кВ (48); код 50410000-2 Послуги з ремонту і технічного обслуговування вимірювальних, випробувальних і контрольних приладів за ДК 021:2015 «Єдиний закупівельний словник»  </t>
  </si>
  <si>
    <t xml:space="preserve">Сервісне обслуговування та поточний ремонт транспортного засобу; код 50110000-9 - Послуги з ремонту і технічного обслуговування мототранспортних засобів і супутнього обладнання за ДК 021:2015 «Єдиний закупівельний словник» </t>
  </si>
  <si>
    <t xml:space="preserve">Вітальні адреси ; код 22320000-9 – Вітальні листівки за ДК 021:2015 «Єдиний закупівельний словник»
</t>
  </si>
  <si>
    <t xml:space="preserve">Виготовлення проектно-кошторисної документації по об'єкту: «Поточний ремонт зовнішньої мережі електропостачання до будинку висотного спорядження військової частини А0742»; код 71240000-2 Архітектурні, інженерні та планувальні послуги за ДК 021:2015 «Єдиний закупівельний словник» </t>
  </si>
  <si>
    <t xml:space="preserve">Виготовлення проектно-кошторисної документації по об'єкту: «Поточний ремонт будівлі транспортної ескадрильї  військової частини А0742»; код 71240000-2 Архітектурні, інженерні та планувальні послуги за ДК 021:2015 «Єдиний закупівельний словник» </t>
  </si>
  <si>
    <t xml:space="preserve">Послуги зі створення та розміщення інформаційної продукції; код 79340000-9 Рекламні та маркетингові послуги  за ДК 021:2015  «Єдиний закупівельний словник» </t>
  </si>
  <si>
    <t>Поточний ремонт будівлі транспортної ескадрильї  військової частини А0742; код 45450000-6 Інші завершальні будівельні роботи за ДК 021:2015 «Єдиний закупівельний словник»</t>
  </si>
  <si>
    <t xml:space="preserve">Послуги з проведення навчального авторського воркшопу: «Договірна робота, контроль, відповідальність у публічних закупівлях  - управляємо ризиками»; код 80510000-2 - Послуги з професійної підготовки спеціалістів за ДК 021:2015 «Єдиний закупівельний словник» </t>
  </si>
  <si>
    <t xml:space="preserve">Послуги з розподілу природного газу; код 65210000-8» Розподіл газу за ДК 021:2015 «Єдиний закупівельний словник»  </t>
  </si>
  <si>
    <t xml:space="preserve">Послуги з друку погосподарських книг; код 79820000-8 Послуги, пов’язані з друком за ДК 021:2015 «Єдиний закупівельний словник»  </t>
  </si>
  <si>
    <t xml:space="preserve">Послуги з друку календарів; код 79820000-8 – Послуги, пов’язані з друком за ДК 021:2015 «Єдиний закупівельний словник»  </t>
  </si>
  <si>
    <t xml:space="preserve">Тканинні сумки; код 18930000-7 – Мішки та пакети за ДК 021:2015 «Єдиний закупівельний словник» </t>
  </si>
  <si>
    <t xml:space="preserve">Страхування транспортних засобів; код 66510000-8 Страхові послуги за ДК 021:2015 «Єдиний закупівельний словник» </t>
  </si>
  <si>
    <t xml:space="preserve">Поточний ремонт зовнішньої мережі електропостачання до будинку висотного спорядження   військової частини А0742; код 45310000-3 Електромонтажні роботи за ДК 021:2015 «Єдиний закупівельний словник» </t>
  </si>
  <si>
    <t>Здійснення технічного нагляду за виконанням поточного ремонту по об’єкту:  Поточний ремонт будівлі транспортної ескадрильї  військової частини А0742; код 71240000-2 Архітектурні, інженерні та планувальні послуги за ДК 021:2015 «Єдиний закупівельний словник»</t>
  </si>
  <si>
    <t>Здійснення технічного нагляду за виконанням поточного ремонту по об’єкту:  Поточний ремонт зовнішньої мережі електропостачання до будинку висотного спорядження   військової частини А0742; код 71240000-2 Архітектурні, інженерні та планувальні послуги за ДК 021:2015 «Єдиний закупівельний словник»</t>
  </si>
  <si>
    <t xml:space="preserve">Демонтаж рекламних засобів на території Коломийської міської територіальної громади; код 45110000-1 – Руйнування та знесення будівель і земляні роботи за ДК 021:2015 «Єдиний закупівельний словник»   </t>
  </si>
  <si>
    <t>Послуги з друку календарів; код 79970000-4 - Видавничі послуги за ДК 021:2015 "Єдиний закупівельний словник"</t>
  </si>
  <si>
    <t>Придбання медалей; код 18530000-3 Подарунки та нгороди за ДК 021:2015  «Єдиний закупівельний словник»</t>
  </si>
  <si>
    <t xml:space="preserve">Придбання блоків багатоканальної швидкої зарядки; код 31440000-2  Акумуляторні батареї за ДК 021:2015 «Єдиний закупівельний словник» </t>
  </si>
  <si>
    <t xml:space="preserve">Придбання прожекторів пошукових; код 31510000-4  Електричні лампи розжарення за ДК 021:2015 «Єдиний закупівельний словник» </t>
  </si>
  <si>
    <t xml:space="preserve">Придбання інверторних генераторів; код 31120000-3  Генератори за ДК 021:2015 «Єдиний закупівельний словник» </t>
  </si>
  <si>
    <t xml:space="preserve">Послуги з друку погосподарських книг; код 79970000-4 – Видавничі послуги за ДК 021:2015 «Єдиний закупівельний словник»  </t>
  </si>
  <si>
    <t xml:space="preserve">- Експлуатаційні послуги, пов’язані з утриманням будинку; код 70340000-6 – Послуги з надавання нерухомості у спільне користування в режимі розподілу часу за ДК 021:2015 «Єдиний закупівельний словник»  
</t>
  </si>
  <si>
    <t xml:space="preserve">Посвідчення; код 22450000-9 – Друкована продукція з елементами захисту за ДК 021:2015 «Єдиний закупівельний словник»   </t>
  </si>
  <si>
    <t>Послуги у сфері інформатизації; код 72250000-2 – Послуги, пов’язані із системами та підтримкою за ДК 021:2015 «Єдиний закупівельний словник»;</t>
  </si>
  <si>
    <t xml:space="preserve">Здійснення технічного нагляду під час будівництва об’єкта: «Нове будівництво малого групового будинку по вул. Маковея в м. Коломия (коригування)»;  код 71247000-1 Нагляд за будівельними роботами за ДК 021:2015 «Єдиний закупівельний словник» 
</t>
  </si>
  <si>
    <t>Дизельне паливо, Бензин А-95;  код 09130000-9 Нафта і дистиляти  за ДК 021:2015 «Єдиного закупівельного словника»:Дизельне паливо, Бензин А-95;  код 09130000-9 Нафта і дистиляти  за ДК 021:2015 «Єдиного закупівельного словника»</t>
  </si>
  <si>
    <t xml:space="preserve">Придбання віконних блоків; код 44220000-8 Столярні вироби за ДК 021:2015 «Єдиний закупівельний словник» </t>
  </si>
  <si>
    <t xml:space="preserve">Придбання гвинтів; код 44530000-4 Кріпильні деталі за ДК 021:2015 «Єдиний закупівельний словник» </t>
  </si>
  <si>
    <t>Придбання будівельних матеріалів; код 44110000-4  Конструкційні матеріали за ДК 021:2015 «Єдиний закупівельний словник»</t>
  </si>
  <si>
    <t xml:space="preserve">Придбання трансформатора; код 31170000-8 Трансформатори за ДК 021:2015 «Єдиний закупівельний словник» </t>
  </si>
  <si>
    <t>Договір благодійної пожертви</t>
  </si>
  <si>
    <t>Відшкодування частини прийнятих витрат ОСББ</t>
  </si>
  <si>
    <t>ОСББ "Хмельницького 1А"</t>
  </si>
  <si>
    <t>ОСББ "Мазепи 292"</t>
  </si>
  <si>
    <t>Гульчій Богдан Михайлович</t>
  </si>
  <si>
    <t>Додатковий правочин про зміни і доповнення до Договору споживача про надання послуг з розподілу електричної енергії  №3001455 від 13.12.2019 року</t>
  </si>
  <si>
    <t>Додатковий правочин про зміни і доповнення до Договору споживача про надання послуг з розподілу електричної енергії  №260206 від 14.02.2019 року</t>
  </si>
  <si>
    <t xml:space="preserve">Додатковий правочин про зміни і доповнення до Договору споживача про надання послуг з розподілу електричної енергії  №2701052 від 13.05.2019року  </t>
  </si>
  <si>
    <t>Надання фінансової підтримки на реалізацію бізнес - ідей, стартапів</t>
  </si>
  <si>
    <t>Додатковий правочин про зміни і доповнення до Договору споживача про надання послуг з розподілу електричної енергії №260206 від 14.02.2019р</t>
  </si>
  <si>
    <t>Додатковий правочин про зміни до Договору про постачання електричної енергії №260206 (2) від 04.05.2023р.</t>
  </si>
  <si>
    <t>Додатковий правочин про зміни до Договору про постачання електричної енергії №260206  від 02.06.2021р.</t>
  </si>
  <si>
    <t>UA-2023-04-13-005259-a,    Додаткова угода про внесення змін до Договору №156 від 06.04.2023</t>
  </si>
  <si>
    <t>Додатковий правочин про зміни і доповнення до Договору споживача про надання послуг з розподілу електричної енергії №260206 від 14.02.2023</t>
  </si>
  <si>
    <t>UA-2023-11-16-000998-a,   Додаткова угода до Договору №499 від 10.11.2023р.</t>
  </si>
  <si>
    <t>UA-2023-10-03-000818-a,  Додаткова угода про внесення змін до Договору від 22.09.2023 №434</t>
  </si>
  <si>
    <t>UA-2023-10-03-001072-a,     Додаткова угода про внесення змін до Договору від 22.09.2023 №433</t>
  </si>
  <si>
    <t xml:space="preserve">Поточний ремонт транспортних засобів;  код  50110000-9  - Послуги з ремонту і технічного  обслуговування  мототранспортних  засобів і супутнього обладнання за ДК 021:2015  «Єдиний  закупівельний словник» </t>
  </si>
  <si>
    <t>Фільтр оливи - заміна; Фільтр паливний - заміна; Фільтр повітряний - заміна; Фільтр салону - заміна; Олива моторна 6,9л - заміна; Акумулятор - заміна; Колодки задні  - заміна; Колодки передні - заміна; Передні амортизатори - заміна; Опора в комплекті з підшипником 2 шт - заміна; Пильники, відбійники - заміна; Шарові - заміна; Тяги стабілізатора передніх, задніх - заміна; Втулки стабілізатора - заміна; Фільтр масляний - заміна; Фільтр паливний - заміна; Фільтр повітряний - заміна; Олива моторна 4,7 л - заміна; Ремкомплект супорта  - заміна; Піддон картера - заміна; Сайлентблоки важеля   - заміна; Опора амортизатора в комплекті - заміна; Сайлентблоки важеля переднього - заміна; Сайлентблоки важеля - заміна; Стійки стабілізатора  - заміна; Колодки гальмівні - заміна; Важель підвіски, бумеранг  - заміна; Комплект сайлентблоків важелів задньої підвіски - заміна; Втулки стабілізатора  - заміна; Болт розвалу сходження до верхнього ричага  - заміна; Болт розвалу сходження до нижнього ричага - заміна; Диски задні - заміна; Розвал сходження</t>
  </si>
  <si>
    <t>ТзОВ "Швидкість"</t>
  </si>
  <si>
    <t>Здійснення авторського  нагляду під час будівництва об’єкта: «Нове будівництво малого групового будинку по вул. Маковея в м. Коломия (коригування)»; код 71247000-1 Нагляд за будівельними роботами за ДК 021:2015 «Єдиний закупівельний словник»</t>
  </si>
  <si>
    <t>Здійснення авторського  нагляду під час будівництва об’єкта: «Нове будівництво малого групового будинку по вул. Маковея в м. Коломия (коригування)»</t>
  </si>
  <si>
    <t>Попович Наталія Ярославівна</t>
  </si>
  <si>
    <t>110150              117693</t>
  </si>
  <si>
    <t>110150           117693            118210</t>
  </si>
  <si>
    <t>118210         118230</t>
  </si>
  <si>
    <t>Петруняк Ростислав Ігорович</t>
  </si>
  <si>
    <t>Тимофійчук Марина Василівна</t>
  </si>
  <si>
    <t>Кулька Руслан Михайлович</t>
  </si>
  <si>
    <t>Василащук Христина Володимирівна</t>
  </si>
  <si>
    <t>ОСР АТ "Прикарпаттяобленерго"</t>
  </si>
  <si>
    <t>Поточний ремонт транспортних засобів; код 50110000-9 - Послуги з ремонту і технічного обслуговування мототранспортних засобів і супутнього обладнання за ДК 021:2015 «Єдиний закупівельний словник»</t>
  </si>
  <si>
    <t xml:space="preserve">50110000-9 - Послуги з ремонту і технічного обслуговування мототранспортних засобів і супутнього обладнання </t>
  </si>
  <si>
    <t>Поточний ремонт транспортних засобів</t>
  </si>
  <si>
    <t>UA-2023-09-14-014241-a</t>
  </si>
  <si>
    <t>Копильців Микола Миколайович</t>
  </si>
  <si>
    <t>2273 - Оплата електроенергії</t>
  </si>
  <si>
    <t>136 800,                                               20 640,00</t>
  </si>
  <si>
    <t xml:space="preserve">2210  Предмети, матеріали, обладнання та інвентар,                        3110  Придбання обладнання і предметів довгострокового користування  </t>
  </si>
  <si>
    <t xml:space="preserve">3110  Придбання обладнання і предметів довгострокового користування  </t>
  </si>
  <si>
    <t>28 560,00,                   16 800,00,             12 126,00</t>
  </si>
  <si>
    <t>2274 - Оплата природного газу</t>
  </si>
  <si>
    <t xml:space="preserve">
3122 - Капітальне будівництво (придбання) інших об'єктів</t>
  </si>
  <si>
    <t xml:space="preserve">
3122  Капітальне будівництво (придбання) інших об'єктів</t>
  </si>
  <si>
    <t xml:space="preserve"> Цукерки; код 15840000-8 – Какао; шоколад та цукрові кондитерські вироби  за ДК 021:2015 «Єдиний закупівельний словник»</t>
  </si>
  <si>
    <t xml:space="preserve">Придбання дверних блоків; код 44220000-8  Столярні вироби за ДК 021:2015 «Єдиний закупівельний словник» </t>
  </si>
  <si>
    <t xml:space="preserve">Придбання будівельних готових виробів та матеріалів (металоконструкції); код 44210000-5 - Конструкції та їх частини за ДК 021:2015  «Єдиний закупівельний словник»  </t>
  </si>
  <si>
    <t>Надання послуг нерегулярних пасажирських перевезень; код 60140000-1 – Нерегулярні пасажирські перевезення  за ДК 021:2015 «Єдиний закупівельний словник»</t>
  </si>
  <si>
    <t>Придбання шин для транспортних засобів великої та малої тоннажності;  код  34350000-5 Шини для транспортних засобів великої та малої тоннажності за ДК 021:2015 «Єдиний закупівельний словник»:Придбання шин для транспортних засобів великої та малої тоннажності;  код  34350000-5 Шини для транспортних засобів великої та малої тоннажності за ДК 021:2015 «Єдиний закупівельний словник»</t>
  </si>
  <si>
    <t>Придбання FPV - дрони; код  34710000-7 - Вертольоти, літаки, космічні та інші літальні апарати з двигуном за ДК 021:2015 «Єдиний закупівельний словник»
:Придбання FPV - дрони; код  34710000-7 - Вертольоти, літаки, космічні та інші літальні апарати з двигуном за ДК 021:2015 «Єдиний закупівельний словник»</t>
  </si>
  <si>
    <t xml:space="preserve">Послуги з встановлення та налаштування робочих місць користувачів системи електронного документообігу; код 72250000-2 – Послуги, пов’язані із системами та підтримкою  за ДК 021:2015 «Єдиний закупівельний словник» </t>
  </si>
  <si>
    <t xml:space="preserve">  Інформаційно – консультативні послуги з навчання роботі з Системами; код 80530000-8 – Послуги у сфері професійної підготовки за ДК 021:2015 «Єдиний закупівельний словник»  </t>
  </si>
  <si>
    <t xml:space="preserve">Поточний ремонт дашка адмінбудівлі за адресою пл. Привокзальна, 2А/1, м. Коломия, Івано – Франківської області; код 45450000-6 – Інші завершальні будівельні роботи за ДК 021:2015 «Єдиний закупівельний словник» </t>
  </si>
  <si>
    <t xml:space="preserve">Встановлення гучномовців системи оповіщення на території Коломийської міської територіальної громади; код 45310000-3  Електромонтажні роботи за ДК 021:2015 «Єдиний закупівельний словник» </t>
  </si>
  <si>
    <t xml:space="preserve">Елементи електричних схем; код 31220000-4 - Елементи електричних схем за  ДК 021:2015 «Єдиний закупівельний словник» </t>
  </si>
  <si>
    <t xml:space="preserve">Кабелі та супутня продукція; код 44320000-9 – Кабелі та супутня продукція  за  ДК 021:2015 «Єдиний закупівельний словник» </t>
  </si>
  <si>
    <t xml:space="preserve">Електрична апаратура для комутування та захисту електричних кіл; код 31210000-1 - Електрична апаратура для комутування та захисту електричних кіл за ДК 021:2015 «Єдиний закупівельний словник» </t>
  </si>
  <si>
    <t xml:space="preserve">Придбання світильників; код 31520000-7 - Світильники та освітлювальна арматура за  ДК 021:2015 «Єдиний закупівельний словник» </t>
  </si>
  <si>
    <t xml:space="preserve">Металоконструкції; код 44210000-5 - Конструкції та їх частини за ДК 021:2015  «Єдиний закупівельний словник» </t>
  </si>
  <si>
    <t xml:space="preserve">Вчинення нотаріальних послуг; код 79130000-4 – Юридичні послуги, пов’язані з оформленням і засвідченням документів за ДК 021:2015 «Єдиний закупівельний словник» </t>
  </si>
  <si>
    <t xml:space="preserve">Послуги з письмового перекладу; код 79530000-8 – Послуги з письмового перекладу за ДК 021:2015 «Єдиний закупівельний словник»  </t>
  </si>
  <si>
    <t xml:space="preserve">Послуги з ремонту кондиціонерів; код 50730000-1 – Послуги з ремонту і технічного обслуговування охолоджувальних установок за ДК 021:2015 «Єдиний закупівельний словник» </t>
  </si>
  <si>
    <t xml:space="preserve">Придбання безпілотних літальних апаратів; код 34710000-7 - Вертольоти, літаки, космічні та інші літальні апарати з двигуном за ДК 021:2015 «Єдиний закупівельний словник»  :Придбання безпілотних літальних апаратів; код 34710000-7 - Вертольоти, літаки, космічні та інші літальні апарати з двигуном за ДК 021:2015 «Єдиний закупівельний словник»  </t>
  </si>
  <si>
    <t>Акумулятори; код 31440000-2 Акумуляторні батареї за ДК 021:2015 «Єдиний закупівельний словник»</t>
  </si>
  <si>
    <t xml:space="preserve">Надання послуг з централізованого водопостачання; код 65110000-7 – Розподіл води  за ДК 021:2015 «Єдиний закупівельний словник» </t>
  </si>
  <si>
    <t xml:space="preserve">Надання послуг з централізованого водовідведення; код 90430000-0 – Послуги з відведення стічних вод за ДК 021:2015 «Єдиний закупівельний словник» </t>
  </si>
  <si>
    <t xml:space="preserve">Послуги у сфері інформатизації; код 72250000-2 – Послуги, пов’язані із системами та підтримкою   за ДК 021:2015 «Єдиний закупівельний словник»  </t>
  </si>
  <si>
    <t>Послуги з постачання та впровадження системи електронного документообігу; код 72260000-5 Послуги, пов’язані з програмним забезпеченням за ДК 021:2015 «Єдиний закупівельний словник»:Послуги з постачання та впровадження системи електронного документообігу; код 72260000-5 Послуги, пов’язані з програмним забезпеченням за ДК 021:2015 «Єдиний закупівельний словник»</t>
  </si>
  <si>
    <t>Генератор; код 31120000-3 - Генератори за ДК 021:2015  «Єдиний закупівельний словник»</t>
  </si>
  <si>
    <t xml:space="preserve">Ремонт транспортних засобів; код 50110000-9 -Послуги з ремонту і технічного обслуговування мототранспортних засобів і супутнього обладнання за ДК 021:2015 «Єдиний закупівельний словник»  </t>
  </si>
  <si>
    <t>Папір для друку, код - 30190000-7 Офісне устаткування та приладдя різне  за ДК 021:2015 «Єдиний закупівельний словник»:Папір для друку, код - 30190000-7 Офісне устаткування та приладдя різне  за ДК 021:2015 «Єдиний закупівельний словник»</t>
  </si>
  <si>
    <t xml:space="preserve">Послуги з тимчасового розміщення (проживання); код 98340000-8 Послуги з тимчасового розміщення (проживання) та офісні послуги за ДК 021:2015 «Єдиний закупівельний словник» </t>
  </si>
  <si>
    <t xml:space="preserve">Послуги з організації харчування; код 55320000-9 Послуги з організації харчування за ДК 021:2015 «Єдиний закупівельний словник» </t>
  </si>
  <si>
    <t xml:space="preserve">Послуги зі створення та розміщення інформаційної продукції; код 79340000-9 Рекламні та маркетингові послуги за ДК 021:2015 «Єдиний закупівельний словник» </t>
  </si>
  <si>
    <t>Цукерки н/п 10 Годівничка для птахів 849г</t>
  </si>
  <si>
    <t>Дверний блок металевий зовнішній, колір чорний (1580мм*2490мм)</t>
  </si>
  <si>
    <t>Металоконструкції (стінова з погрунтуванням та пофарбуванням) – СМ1  (розмір 4,0 м х 4,0 м); Металоконструкції (стінова з погрунтуванням та пофарбуванням) – СМ2  (розмір 3,4 м х 4,0 м); Металоконструкції (стінова з погрунтуванням та пофарбуванням) – СМ3  (розмір  3,4 м/ 4 м х 6,0 м); Металоконструкції (стінова з погрунтуванням та пофарбуванням) – ДМ1  (розмір 4,0 м х 6,0 м)</t>
  </si>
  <si>
    <t>Надання транспортних послуг з перевезення м.Коломия - м. Яремче - м. Ворохта - м.Верховина - м. Косів - м. Коломия, 205км</t>
  </si>
  <si>
    <t>Автомобільна шина рульової вісі 265/70R 17.5; Автомобільна шина ведучої вісі 265/70R 17.5; Автомобільна шина рульової вісі 235/75R 17.5; Автомобільна шина ведучої вісі 235/75R 17.5; Автомобільна шина рульової вісі 265/70R 19.5; Автомобільна шина ведучої вісі 265/70R 19.5; Автомобільна шина ведучої вісі 315/60R 22.5; Автомобільна шина рульової вісі 315/70R 22.5; Автомобільна шина ведучої вісі 315/70R 22.5; Автомобільна шина рульової вісі 315/80R 22.5; Автомобільна шина ведучої вісі 315/80R 22.5; Автомобільна шина  385/55R 22.5; Автомобільна шина рульової вісі 385/65R 22.5; Автомобільна шина 385/65R 22.5; Автомобільна шина10.0 R20; Автомобільна шина  205/60R 16; Автомобільна шина 205/60R 16; Автомобільна шина 215/65R 16</t>
  </si>
  <si>
    <t>Придбання FPV - дрони</t>
  </si>
  <si>
    <t>Встановлення та налаштування робочих місць користувачів системи електронного документообігу</t>
  </si>
  <si>
    <t xml:space="preserve"> Інформаційно – консультативні послуги з навчання роботі з Системами</t>
  </si>
  <si>
    <t>Поточний ремонт дашка адмінбудівлі за адресою пл. Привокзальна, 2А/1, м. Коломия, Івано – Франківської області;</t>
  </si>
  <si>
    <t>Встановлення гучномовців системи оповіщення на території Коломийської міської територіальної громади</t>
  </si>
  <si>
    <t xml:space="preserve">Розетка EVA 2-а з/з накл. </t>
  </si>
  <si>
    <t>Кабель АВВГ 4х25 – 660; Труба гофрована ФП 50 посилена; Труба гофрована ФП 20 посилена; Кріплення для гофрованої труби 20 мм 50 шт</t>
  </si>
  <si>
    <t>Коробка розподільча ОВО 90*90*52; Бокс пластик Nlson quantum на 12 модулів зовн.; Автомат ПФ С 3р 40А; Автомат ПФ С 1р 20А; Автомат ПФ С 1р 10А; Вимикач ALSU білий 2-й накл.</t>
  </si>
  <si>
    <t>Світильник LED  BASET-N 20W 340мм 2500Lm IP66 40K VYRTYCH 5р. зона 2.22 (вибухозахищений); Світильник LED  НББ   ATOM  UA 22W 5000K 2200LM  білий IP44 Violux</t>
  </si>
  <si>
    <t xml:space="preserve">Металоконструкції стінові СМ1  (4 елементи  Lзаг 27,2 м.п.) ; Металоконструкції  СМ2     4 елементи  Lзаг 26,0 м.п.); Металоконструкції СМ3  (4 елементи  Lзаг 34,0 м.п.)
; Металоконструкції СМ4  (4 елементи  Lзаг 39,6 м.п.)
; Металоконструкції дахові ДМ1 (2 елементи  Lзаг 31,26 м.п.)
</t>
  </si>
  <si>
    <t>Вчинення нотаріальних послуг</t>
  </si>
  <si>
    <t>Послуги з ремонту кондиціонерів</t>
  </si>
  <si>
    <t>Квадрокоптер DJI Mavic 3T Thermal або еквівалент; Квадрокоптер DJI Mavic 3 PRO або еквівалент</t>
  </si>
  <si>
    <t>Надання послуг з централізованого водопостачання</t>
  </si>
  <si>
    <t>Надання послуг з централізованого водовідведення</t>
  </si>
  <si>
    <t>Послуги у сфері інформатизації</t>
  </si>
  <si>
    <t>Послуги з постачання та впровадження системи електронного документообігу</t>
  </si>
  <si>
    <t xml:space="preserve">Генератор дизельний MGRJ-28 (20кВт(22кВА) </t>
  </si>
  <si>
    <t>Прожектор пошуковий Bandera Flashlight.280.1X</t>
  </si>
  <si>
    <t>Віконний блок ПВХ (з двохкамерним енергоефективним склопакетом) 1220*1480; Віконний блок ПВХ (з двохкамерним енергоефективним склопакетом) 970*1450; Дверний блок ПВХ 1270*2090; Дверний блок ПВХ 970*2050; Дверний блок ПВХ 970*2090; Дверний блок ПВХ 970*2090; Дверний блок ПВХ 940*2090; Дверний блок ПВХ 1510*2570; Дверний блок ПВХ 780*2020; Дверний блок ПВХ 780*2020; Віконний блок ПВХ ( з двохкамерним енергоефективним склопакетом) 1620*1700; Дверний блок ПВХ 980*2020; Дверний блок ПВХ 940*2120; Дверний блок ПВХ 870*2080; Дверний блок ПВХ 810*2080; Дверний блок ПВХ 970*2050; Дверна фрамуга ПВХ 970*350; Дверний блок ПВХ 970*1980; Дверний блок ПВХ 960*2000; Підвіконня внутрішнє 200 ПВХ; Відлив стальний зовнішній 180 мм; Відлив стальний зовнішній 200 мм; Відлив стальний зовнішній 250 мм</t>
  </si>
  <si>
    <t>Ремонт телескопічної стріли крана; Ремонт гідроциліндра телескопу; Ремонт висувного механізму, заміна пальців і роликів; Ремонт гідророзподільника; Зборка стріли, монтаж на кран</t>
  </si>
  <si>
    <t>Послуги з тимчасового розміщення (проживання)</t>
  </si>
  <si>
    <t>Послуги з організації харчування</t>
  </si>
  <si>
    <t>Послуги зі створення та розміщення інформаційної продукції (борди); Послуги зі створення та розміщення інформаційної продукції (сітілайти)</t>
  </si>
  <si>
    <t>79130000-4 Юридичні послуги, пов’язані з оформленням і засвідченням документів</t>
  </si>
  <si>
    <t>50730000-1 Послуги з ремонту і технічного обслуговування охолоджувальних установок</t>
  </si>
  <si>
    <t>98340000-8 Послуги з тимчасового розміщення (проживання) та офісні послуги</t>
  </si>
  <si>
    <t>55320000-9 Послуги з організації харчування</t>
  </si>
  <si>
    <t>ТОВАРИСТВО З ОБМЕЖЕНОЮ ВІДПОВІДАЛЬНІСТЮ "ТОРГОВИЙ ДІМ "РОШЕН ПРИКАРПАТТЯ"</t>
  </si>
  <si>
    <t>Фізична особа - підприємець Вітрак Любов Василівна</t>
  </si>
  <si>
    <t>ТОВ "ТОРГОВА КОМПАНІЯ "ВІКІНГ ОЙЛ УКРАЇНА"</t>
  </si>
  <si>
    <t>ТОВ "АГЕНТСТВО ПРОДАЖУ АКТИВІВ"</t>
  </si>
  <si>
    <t>ЧАЙКІВСЬКА ЗОРИНА ВАСИЛІВНА</t>
  </si>
  <si>
    <t>ДЕРЖАВНЕ ПІДПРИЄМСТВО "НАЦІОНАЛЬНІ ІНФОРМАЦІЙНІ СИСТЕМИ"</t>
  </si>
  <si>
    <t>Товариство з обмеженою відповідальністю "Електроінстал"</t>
  </si>
  <si>
    <t>Яцко Петро Петрович</t>
  </si>
  <si>
    <t>Фізична особа - підприємець Бакай Ярослав Федорович</t>
  </si>
  <si>
    <t>ОНОПЕНКО ОЛЕГ ГРИГОРОВИЧ</t>
  </si>
  <si>
    <t>ТОВ "ТЕХНОПРОФ"</t>
  </si>
  <si>
    <t>Олексієвець Наталя Валеріївна</t>
  </si>
  <si>
    <t>ТОВАРИСТВО З ОБМЕЖЕНОЮ ВІДПОВІДАЛЬНІСТЮ "ІНТЕКРЕСІ БЕЙЗ"</t>
  </si>
  <si>
    <t>САВКІВ ЛЮБОМИР РОМАНОВИЧ</t>
  </si>
  <si>
    <t>Фізична особа-підприємець Ткачук Оксана Миколаївна</t>
  </si>
  <si>
    <t>Фізична особа-підприємець Вівчарик Ірина Іванівна</t>
  </si>
  <si>
    <t>UA-2023-12-06-004909-a,                    Додаткова угода до Договору №533 від 05.12.2023 р</t>
  </si>
  <si>
    <t>UA-2023-12-06-004909-a</t>
  </si>
  <si>
    <t>Додаткова угода до Договору оренди нежитлових приміщень №5 від 25.07.2018р.</t>
  </si>
  <si>
    <t>UA-2023-03-30-008803-a,    Додаткова угода про внесення змін до Договору підряду №112 від 23.03.2023р.</t>
  </si>
  <si>
    <t>UA-2023-03-30-008839-a,  Додаткова угода про внесення змін до Договору  від 23.03.2023 №118</t>
  </si>
  <si>
    <t>Управління фінансів і внутрішнього аудиту Коломийської міської ради</t>
  </si>
  <si>
    <t>UA-2023-11-21-000151-a,     Додаткова угода про внесення змін до Договору №507 від 10.11.2023</t>
  </si>
  <si>
    <t>UA-2023-11-21-000487-a,     Додаткова угода про внесення змін до Договору №505 від 10.11.2023</t>
  </si>
  <si>
    <t>Додаткова угода до Договору оренди майна комунальної власності Коломийської міської ради від 26.10.2022   №10/2022</t>
  </si>
  <si>
    <t xml:space="preserve">UA-2023-11-07-016319-a,   Додаткова угода до Договору на закупівлю №535 від 08.12.2023 </t>
  </si>
  <si>
    <t>Додаткова угода про внесення змін до Договору на виконання проектних робіт від 01.12.2021 року №641</t>
  </si>
  <si>
    <t>Додаткова угода про внесення змін до Договору на виконання проектних робіт від 01.12.2021 року №642</t>
  </si>
  <si>
    <t>Державне науково - реставраційне управління Івано - Франківської області</t>
  </si>
  <si>
    <t>UA-2023-11-20-017405-a,      Додаткова угода до Договору про закупівлю №553 від 15.12.2023р</t>
  </si>
  <si>
    <t>2230   Продукти харчування</t>
  </si>
  <si>
    <t>2282   Окремі заходи по реалізації державних (регіональних) програм, не віднесені до заходів розвитку</t>
  </si>
  <si>
    <t>2272   Оплата водопостачання та водовідведення</t>
  </si>
  <si>
    <t>UA-2023-02-02-018300-a,  Додатковий правочин до Договору №260206/39 від 01.02.2023р.</t>
  </si>
  <si>
    <t>UA-2023-02-02-018340-a,    Додатковий правочин до Договору №2701052/40 від 01.02.2023р.</t>
  </si>
  <si>
    <t>UA-2023-02-02-018356-a,      Додатковий правочин до Договору №3001455/41  від 01.02.2023р.</t>
  </si>
  <si>
    <t>0110150,                                0118230</t>
  </si>
  <si>
    <t>25 426,80                                                 812 170,20</t>
  </si>
  <si>
    <t>0110150,                                                    0118230</t>
  </si>
  <si>
    <t>0110150,                       0117693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</si>
</sst>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454545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202124"/>
      <name val="Times New Roman"/>
      <family val="1"/>
      <charset val="204"/>
    </font>
    <font>
      <sz val="11"/>
      <color rgb="FF040C2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7"/>
      </patternFill>
    </fill>
    <fill>
      <patternFill patternType="solid">
        <fgColor rgb="FF008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3" fillId="4" borderId="0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/>
    <xf numFmtId="0" fontId="0" fillId="0" borderId="0" xfId="0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top" wrapText="1"/>
    </xf>
    <xf numFmtId="4" fontId="3" fillId="0" borderId="1" xfId="0" quotePrefix="1" applyNumberFormat="1" applyFont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4" fontId="6" fillId="0" borderId="1" xfId="0" quotePrefix="1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/>
    <xf numFmtId="4" fontId="3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4" borderId="0" xfId="3" applyFont="1" applyFill="1" applyAlignment="1">
      <alignment horizontal="center" vertical="top"/>
    </xf>
    <xf numFmtId="0" fontId="6" fillId="0" borderId="1" xfId="3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4" fontId="0" fillId="0" borderId="0" xfId="0" applyNumberFormat="1" applyBorder="1"/>
    <xf numFmtId="1" fontId="0" fillId="0" borderId="0" xfId="0" applyNumberFormat="1" applyBorder="1"/>
    <xf numFmtId="3" fontId="0" fillId="0" borderId="0" xfId="0" applyNumberFormat="1" applyBorder="1"/>
    <xf numFmtId="0" fontId="0" fillId="0" borderId="0" xfId="0" applyFill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0" fontId="6" fillId="0" borderId="1" xfId="0" applyFont="1" applyBorder="1" applyAlignment="1">
      <alignment horizontal="left" vertical="top" wrapText="1"/>
    </xf>
    <xf numFmtId="0" fontId="12" fillId="0" borderId="0" xfId="0" applyFont="1"/>
    <xf numFmtId="0" fontId="3" fillId="0" borderId="1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/>
    <xf numFmtId="0" fontId="7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</cellXfs>
  <cellStyles count="4">
    <cellStyle name="Гіперпосилання" xfId="3" builtinId="8"/>
    <cellStyle name="Звичайний" xfId="0" builtinId="0"/>
    <cellStyle name="Обычный 2" xfId="1" xr:uid="{00000000-0005-0000-0000-000002000000}"/>
    <cellStyle name="Обычный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ki.prom.ua/remote/dispatcher/state_purchase_view/41632616" TargetMode="External"/><Relationship Id="rId299" Type="http://schemas.openxmlformats.org/officeDocument/2006/relationships/hyperlink" Target="https://my.zakupki.prom.ua/remote/dispatcher/state_purchase_view/45547751" TargetMode="External"/><Relationship Id="rId21" Type="http://schemas.openxmlformats.org/officeDocument/2006/relationships/hyperlink" Target="https://my.zakupki.prom.ua/remote/dispatcher/state_purchase_view/40542317" TargetMode="External"/><Relationship Id="rId63" Type="http://schemas.openxmlformats.org/officeDocument/2006/relationships/hyperlink" Target="https://my.zakupki.prom.ua/remote/dispatcher/state_purchase_view/41166848" TargetMode="External"/><Relationship Id="rId159" Type="http://schemas.openxmlformats.org/officeDocument/2006/relationships/hyperlink" Target="https://my.zakupki.prom.ua/remote/dispatcher/state_purchase_view/41981491" TargetMode="External"/><Relationship Id="rId324" Type="http://schemas.openxmlformats.org/officeDocument/2006/relationships/hyperlink" Target="https://my.zakupki.prom.ua/remote/dispatcher/state_purchase_view/44843762" TargetMode="External"/><Relationship Id="rId366" Type="http://schemas.openxmlformats.org/officeDocument/2006/relationships/hyperlink" Target="https://my.zakupivli.pro/remote/dispatcher/state_purchase_view/46324409" TargetMode="External"/><Relationship Id="rId170" Type="http://schemas.openxmlformats.org/officeDocument/2006/relationships/hyperlink" Target="https://my.zakupki.prom.ua/remote/dispatcher/state_purchase_view/42184394" TargetMode="External"/><Relationship Id="rId226" Type="http://schemas.openxmlformats.org/officeDocument/2006/relationships/hyperlink" Target="https://my.zakupki.prom.ua/remote/dispatcher/state_purchase_view/44134831" TargetMode="External"/><Relationship Id="rId268" Type="http://schemas.openxmlformats.org/officeDocument/2006/relationships/hyperlink" Target="https://my.zakupki.prom.ua/remote/dispatcher/state_purchase_view/44794122" TargetMode="External"/><Relationship Id="rId32" Type="http://schemas.openxmlformats.org/officeDocument/2006/relationships/hyperlink" Target="https://my.zakupki.prom.ua/remote/dispatcher/state_purchase_view/40364788" TargetMode="External"/><Relationship Id="rId74" Type="http://schemas.openxmlformats.org/officeDocument/2006/relationships/hyperlink" Target="https://my.zakupki.prom.ua/remote/dispatcher/state_purchase_view/40344132" TargetMode="External"/><Relationship Id="rId128" Type="http://schemas.openxmlformats.org/officeDocument/2006/relationships/hyperlink" Target="https://my.zakupki.prom.ua/remote/dispatcher/state_purchase_view/42401788" TargetMode="External"/><Relationship Id="rId335" Type="http://schemas.openxmlformats.org/officeDocument/2006/relationships/hyperlink" Target="https://my.zakupivli.pro/remote/dispatcher/state_purchase_view/47208132" TargetMode="External"/><Relationship Id="rId377" Type="http://schemas.openxmlformats.org/officeDocument/2006/relationships/hyperlink" Target="https://my.zakupivli.pro/remote/dispatcher/state_purchase_view/46137864" TargetMode="External"/><Relationship Id="rId5" Type="http://schemas.openxmlformats.org/officeDocument/2006/relationships/hyperlink" Target="https://my.zakupki.prom.ua/remote/dispatcher/state_purchase_view/40684940" TargetMode="External"/><Relationship Id="rId181" Type="http://schemas.openxmlformats.org/officeDocument/2006/relationships/hyperlink" Target="https://my.zakupki.prom.ua/remote/dispatcher/state_purchase_view/42214586" TargetMode="External"/><Relationship Id="rId237" Type="http://schemas.openxmlformats.org/officeDocument/2006/relationships/hyperlink" Target="https://my.zakupki.prom.ua/remote/dispatcher/state_purchase_view/43896912" TargetMode="External"/><Relationship Id="rId402" Type="http://schemas.openxmlformats.org/officeDocument/2006/relationships/hyperlink" Target="https://my.zakupivli.pro/remote/dispatcher/state_purchase_view/47754742" TargetMode="External"/><Relationship Id="rId279" Type="http://schemas.openxmlformats.org/officeDocument/2006/relationships/hyperlink" Target="https://my.zakupki.prom.ua/remote/dispatcher/state_purchase_view/44679540" TargetMode="External"/><Relationship Id="rId43" Type="http://schemas.openxmlformats.org/officeDocument/2006/relationships/hyperlink" Target="https://my.zakupki.prom.ua/remote/dispatcher/state_purchase_view/40263777" TargetMode="External"/><Relationship Id="rId139" Type="http://schemas.openxmlformats.org/officeDocument/2006/relationships/hyperlink" Target="https://my.zakupki.prom.ua/remote/dispatcher/state_purchase_view/41778722" TargetMode="External"/><Relationship Id="rId290" Type="http://schemas.openxmlformats.org/officeDocument/2006/relationships/hyperlink" Target="https://my.zakupki.prom.ua/remote/dispatcher/state_purchase_view/43725402" TargetMode="External"/><Relationship Id="rId304" Type="http://schemas.openxmlformats.org/officeDocument/2006/relationships/hyperlink" Target="https://my.zakupki.prom.ua/remote/dispatcher/state_purchase_view/45463566" TargetMode="External"/><Relationship Id="rId346" Type="http://schemas.openxmlformats.org/officeDocument/2006/relationships/hyperlink" Target="https://my.zakupivli.pro/remote/dispatcher/state_purchase_view/46824989" TargetMode="External"/><Relationship Id="rId388" Type="http://schemas.openxmlformats.org/officeDocument/2006/relationships/hyperlink" Target="https://my.zakupivli.pro/remote/dispatcher/state_purchase_view/47240869" TargetMode="External"/><Relationship Id="rId85" Type="http://schemas.openxmlformats.org/officeDocument/2006/relationships/hyperlink" Target="https://my.zakupki.prom.ua/remote/dispatcher/state_purchase_view/41259318" TargetMode="External"/><Relationship Id="rId150" Type="http://schemas.openxmlformats.org/officeDocument/2006/relationships/hyperlink" Target="https://my.zakupki.prom.ua/remote/dispatcher/state_purchase_view/41883701" TargetMode="External"/><Relationship Id="rId192" Type="http://schemas.openxmlformats.org/officeDocument/2006/relationships/hyperlink" Target="https://my.zakupki.prom.ua/remote/dispatcher/state_purchase_view/42283558" TargetMode="External"/><Relationship Id="rId206" Type="http://schemas.openxmlformats.org/officeDocument/2006/relationships/hyperlink" Target="https://my.zakupki.prom.ua/remote/dispatcher/state_purchase_view/43725047" TargetMode="External"/><Relationship Id="rId413" Type="http://schemas.openxmlformats.org/officeDocument/2006/relationships/hyperlink" Target="https://my.zakupivli.pro/remote/dispatcher/state_purchase_view/47560730" TargetMode="External"/><Relationship Id="rId248" Type="http://schemas.openxmlformats.org/officeDocument/2006/relationships/hyperlink" Target="https://my.zakupki.prom.ua/remote/dispatcher/state_purchase_view/44915656" TargetMode="External"/><Relationship Id="rId12" Type="http://schemas.openxmlformats.org/officeDocument/2006/relationships/hyperlink" Target="https://my.zakupki.prom.ua/remote/dispatcher/state_purchase_view/40608193" TargetMode="External"/><Relationship Id="rId108" Type="http://schemas.openxmlformats.org/officeDocument/2006/relationships/hyperlink" Target="https://my.zakupki.prom.ua/remote/dispatcher/state_purchase_view/41733122" TargetMode="External"/><Relationship Id="rId315" Type="http://schemas.openxmlformats.org/officeDocument/2006/relationships/hyperlink" Target="https://my.zakupki.prom.ua/remote/dispatcher/state_purchase_view/45069678" TargetMode="External"/><Relationship Id="rId357" Type="http://schemas.openxmlformats.org/officeDocument/2006/relationships/hyperlink" Target="https://my.zakupivli.pro/remote/dispatcher/state_purchase_view/46555264" TargetMode="External"/><Relationship Id="rId54" Type="http://schemas.openxmlformats.org/officeDocument/2006/relationships/hyperlink" Target="https://my.zakupki.prom.ua/remote/dispatcher/state_purchase_view/41196140" TargetMode="External"/><Relationship Id="rId96" Type="http://schemas.openxmlformats.org/officeDocument/2006/relationships/hyperlink" Target="https://my.zakupki.prom.ua/remote/dispatcher/state_purchase_view/41754373" TargetMode="External"/><Relationship Id="rId161" Type="http://schemas.openxmlformats.org/officeDocument/2006/relationships/hyperlink" Target="https://my.zakupki.prom.ua/remote/dispatcher/state_purchase_view/41982033" TargetMode="External"/><Relationship Id="rId217" Type="http://schemas.openxmlformats.org/officeDocument/2006/relationships/hyperlink" Target="https://my.zakupki.prom.ua/remote/dispatcher/state_purchase_view/43692242" TargetMode="External"/><Relationship Id="rId399" Type="http://schemas.openxmlformats.org/officeDocument/2006/relationships/hyperlink" Target="https://my.zakupivli.pro/remote/dispatcher/state_purchase_view/47810377" TargetMode="External"/><Relationship Id="rId259" Type="http://schemas.openxmlformats.org/officeDocument/2006/relationships/hyperlink" Target="https://my.zakupki.prom.ua/remote/dispatcher/state_purchase_view/44847249" TargetMode="External"/><Relationship Id="rId424" Type="http://schemas.openxmlformats.org/officeDocument/2006/relationships/hyperlink" Target="https://my.zakupivli.pro/remote/dispatcher/state_purchase_view/46471534" TargetMode="External"/><Relationship Id="rId23" Type="http://schemas.openxmlformats.org/officeDocument/2006/relationships/hyperlink" Target="https://my.zakupki.prom.ua/remote/dispatcher/state_purchase_view/40534681" TargetMode="External"/><Relationship Id="rId119" Type="http://schemas.openxmlformats.org/officeDocument/2006/relationships/hyperlink" Target="https://my.zakupki.prom.ua/remote/dispatcher/state_purchase_view/41632584" TargetMode="External"/><Relationship Id="rId270" Type="http://schemas.openxmlformats.org/officeDocument/2006/relationships/hyperlink" Target="https://my.zakupki.prom.ua/remote/dispatcher/state_purchase_view/44793527" TargetMode="External"/><Relationship Id="rId326" Type="http://schemas.openxmlformats.org/officeDocument/2006/relationships/hyperlink" Target="https://my.zakupki.prom.ua/remote/dispatcher/state_purchase_view/44848888" TargetMode="External"/><Relationship Id="rId65" Type="http://schemas.openxmlformats.org/officeDocument/2006/relationships/hyperlink" Target="https://my.zakupki.prom.ua/remote/dispatcher/state_purchase_view/41162077" TargetMode="External"/><Relationship Id="rId130" Type="http://schemas.openxmlformats.org/officeDocument/2006/relationships/hyperlink" Target="https://my.zakupki.prom.ua/remote/dispatcher/state_purchase_view/42284837" TargetMode="External"/><Relationship Id="rId368" Type="http://schemas.openxmlformats.org/officeDocument/2006/relationships/hyperlink" Target="https://my.zakupivli.pro/remote/dispatcher/state_purchase_view/46322915" TargetMode="External"/><Relationship Id="rId172" Type="http://schemas.openxmlformats.org/officeDocument/2006/relationships/hyperlink" Target="https://my.zakupki.prom.ua/remote/dispatcher/state_purchase_view/41733084" TargetMode="External"/><Relationship Id="rId228" Type="http://schemas.openxmlformats.org/officeDocument/2006/relationships/hyperlink" Target="https://my.zakupki.prom.ua/remote/dispatcher/state_purchase_view/44104184" TargetMode="External"/><Relationship Id="rId281" Type="http://schemas.openxmlformats.org/officeDocument/2006/relationships/hyperlink" Target="https://my.zakupki.prom.ua/remote/dispatcher/state_purchase_view/44331629" TargetMode="External"/><Relationship Id="rId337" Type="http://schemas.openxmlformats.org/officeDocument/2006/relationships/hyperlink" Target="https://my.zakupivli.pro/remote/dispatcher/state_purchase_view/47056689" TargetMode="External"/><Relationship Id="rId34" Type="http://schemas.openxmlformats.org/officeDocument/2006/relationships/hyperlink" Target="https://my.zakupki.prom.ua/remote/dispatcher/state_purchase_view/40317813" TargetMode="External"/><Relationship Id="rId76" Type="http://schemas.openxmlformats.org/officeDocument/2006/relationships/hyperlink" Target="https://my.zakupki.prom.ua/remote/dispatcher/state_purchase_view/41566320" TargetMode="External"/><Relationship Id="rId141" Type="http://schemas.openxmlformats.org/officeDocument/2006/relationships/hyperlink" Target="https://my.zakupki.prom.ua/remote/dispatcher/state_purchase_view/41810813" TargetMode="External"/><Relationship Id="rId379" Type="http://schemas.openxmlformats.org/officeDocument/2006/relationships/hyperlink" Target="https://my.zakupivli.pro/remote/dispatcher/state_purchase_view/45994980" TargetMode="External"/><Relationship Id="rId7" Type="http://schemas.openxmlformats.org/officeDocument/2006/relationships/hyperlink" Target="https://my.zakupki.prom.ua/remote/dispatcher/state_purchase_view/40641046" TargetMode="External"/><Relationship Id="rId183" Type="http://schemas.openxmlformats.org/officeDocument/2006/relationships/hyperlink" Target="https://my.zakupki.prom.ua/remote/dispatcher/state_purchase_view/41733153" TargetMode="External"/><Relationship Id="rId239" Type="http://schemas.openxmlformats.org/officeDocument/2006/relationships/hyperlink" Target="https://my.zakupki.prom.ua/remote/dispatcher/state_purchase_view/43869803" TargetMode="External"/><Relationship Id="rId390" Type="http://schemas.openxmlformats.org/officeDocument/2006/relationships/hyperlink" Target="https://my.zakupivli.pro/remote/dispatcher/state_purchase_view/48116635" TargetMode="External"/><Relationship Id="rId404" Type="http://schemas.openxmlformats.org/officeDocument/2006/relationships/hyperlink" Target="https://my.zakupivli.pro/remote/dispatcher/state_purchase_view/47753830" TargetMode="External"/><Relationship Id="rId250" Type="http://schemas.openxmlformats.org/officeDocument/2006/relationships/hyperlink" Target="https://my.zakupki.prom.ua/remote/dispatcher/state_purchase_view/44915165" TargetMode="External"/><Relationship Id="rId292" Type="http://schemas.openxmlformats.org/officeDocument/2006/relationships/hyperlink" Target="https://my.zakupki.prom.ua/remote/dispatcher/state_purchase_view/45646673" TargetMode="External"/><Relationship Id="rId306" Type="http://schemas.openxmlformats.org/officeDocument/2006/relationships/hyperlink" Target="https://my.zakupki.prom.ua/remote/dispatcher/state_purchase_view/45427750" TargetMode="External"/><Relationship Id="rId45" Type="http://schemas.openxmlformats.org/officeDocument/2006/relationships/hyperlink" Target="https://my.zakupki.prom.ua/remote/dispatcher/state_purchase_view/40202996" TargetMode="External"/><Relationship Id="rId87" Type="http://schemas.openxmlformats.org/officeDocument/2006/relationships/hyperlink" Target="https://my.zakupki.prom.ua/remote/dispatcher/state_purchase_view/40846000" TargetMode="External"/><Relationship Id="rId110" Type="http://schemas.openxmlformats.org/officeDocument/2006/relationships/hyperlink" Target="https://my.zakupki.prom.ua/remote/dispatcher/state_purchase_view/41733098" TargetMode="External"/><Relationship Id="rId348" Type="http://schemas.openxmlformats.org/officeDocument/2006/relationships/hyperlink" Target="https://my.zakupivli.pro/remote/dispatcher/state_purchase_view/46824290" TargetMode="External"/><Relationship Id="rId152" Type="http://schemas.openxmlformats.org/officeDocument/2006/relationships/hyperlink" Target="https://my.zakupki.prom.ua/remote/dispatcher/state_purchase_view/41884190" TargetMode="External"/><Relationship Id="rId194" Type="http://schemas.openxmlformats.org/officeDocument/2006/relationships/hyperlink" Target="https://my.zakupki.prom.ua/remote/dispatcher/state_purchase_view/43453611" TargetMode="External"/><Relationship Id="rId208" Type="http://schemas.openxmlformats.org/officeDocument/2006/relationships/hyperlink" Target="https://my.zakupki.prom.ua/remote/dispatcher/state_purchase_view/43721938" TargetMode="External"/><Relationship Id="rId415" Type="http://schemas.openxmlformats.org/officeDocument/2006/relationships/hyperlink" Target="https://my.zakupivli.pro/remote/dispatcher/state_purchase_view/47313496" TargetMode="External"/><Relationship Id="rId261" Type="http://schemas.openxmlformats.org/officeDocument/2006/relationships/hyperlink" Target="https://my.zakupki.prom.ua/remote/dispatcher/state_purchase_view/44846842" TargetMode="External"/><Relationship Id="rId14" Type="http://schemas.openxmlformats.org/officeDocument/2006/relationships/hyperlink" Target="https://my.zakupki.prom.ua/remote/dispatcher/state_purchase_view/40596006" TargetMode="External"/><Relationship Id="rId56" Type="http://schemas.openxmlformats.org/officeDocument/2006/relationships/hyperlink" Target="https://my.zakupki.prom.ua/remote/dispatcher/state_purchase_view/41188168" TargetMode="External"/><Relationship Id="rId317" Type="http://schemas.openxmlformats.org/officeDocument/2006/relationships/hyperlink" Target="https://my.zakupki.prom.ua/remote/dispatcher/state_purchase_view/45067493" TargetMode="External"/><Relationship Id="rId359" Type="http://schemas.openxmlformats.org/officeDocument/2006/relationships/hyperlink" Target="https://my.zakupivli.pro/remote/dispatcher/state_purchase_view/46469920" TargetMode="External"/><Relationship Id="rId98" Type="http://schemas.openxmlformats.org/officeDocument/2006/relationships/hyperlink" Target="https://my.zakupki.prom.ua/remote/dispatcher/state_purchase_view/41750184" TargetMode="External"/><Relationship Id="rId121" Type="http://schemas.openxmlformats.org/officeDocument/2006/relationships/hyperlink" Target="https://my.zakupki.prom.ua/remote/dispatcher/state_purchase_view/41632533" TargetMode="External"/><Relationship Id="rId163" Type="http://schemas.openxmlformats.org/officeDocument/2006/relationships/hyperlink" Target="https://my.zakupki.prom.ua/remote/dispatcher/state_purchase_view/42053675" TargetMode="External"/><Relationship Id="rId219" Type="http://schemas.openxmlformats.org/officeDocument/2006/relationships/hyperlink" Target="https://my.zakupki.prom.ua/remote/dispatcher/state_purchase_view/44159135" TargetMode="External"/><Relationship Id="rId370" Type="http://schemas.openxmlformats.org/officeDocument/2006/relationships/hyperlink" Target="https://my.zakupivli.pro/remote/dispatcher/state_purchase_view/46322026" TargetMode="External"/><Relationship Id="rId426" Type="http://schemas.openxmlformats.org/officeDocument/2006/relationships/printerSettings" Target="../printerSettings/printerSettings1.bin"/><Relationship Id="rId230" Type="http://schemas.openxmlformats.org/officeDocument/2006/relationships/hyperlink" Target="https://my.zakupki.prom.ua/remote/dispatcher/state_purchase_view/44048919" TargetMode="External"/><Relationship Id="rId25" Type="http://schemas.openxmlformats.org/officeDocument/2006/relationships/hyperlink" Target="https://my.zakupki.prom.ua/remote/dispatcher/state_purchase_view/40468253" TargetMode="External"/><Relationship Id="rId67" Type="http://schemas.openxmlformats.org/officeDocument/2006/relationships/hyperlink" Target="https://my.zakupki.prom.ua/remote/dispatcher/state_purchase_view/41147638" TargetMode="External"/><Relationship Id="rId272" Type="http://schemas.openxmlformats.org/officeDocument/2006/relationships/hyperlink" Target="https://my.zakupki.prom.ua/remote/dispatcher/state_purchase_view/44789746" TargetMode="External"/><Relationship Id="rId328" Type="http://schemas.openxmlformats.org/officeDocument/2006/relationships/hyperlink" Target="https://my.zakupki.prom.ua/remote/dispatcher/state_purchase_view/44848888" TargetMode="External"/><Relationship Id="rId132" Type="http://schemas.openxmlformats.org/officeDocument/2006/relationships/hyperlink" Target="https://my.zakupki.prom.ua/remote/dispatcher/state_purchase_view/42283558" TargetMode="External"/><Relationship Id="rId174" Type="http://schemas.openxmlformats.org/officeDocument/2006/relationships/hyperlink" Target="https://my.zakupki.prom.ua/remote/dispatcher/state_purchase_view/40685006" TargetMode="External"/><Relationship Id="rId381" Type="http://schemas.openxmlformats.org/officeDocument/2006/relationships/hyperlink" Target="https://my.zakupivli.pro/remote/dispatcher/state_purchase_view/45990082" TargetMode="External"/><Relationship Id="rId241" Type="http://schemas.openxmlformats.org/officeDocument/2006/relationships/hyperlink" Target="https://my.zakupki.prom.ua/remote/dispatcher/state_purchase_view/43835039" TargetMode="External"/><Relationship Id="rId36" Type="http://schemas.openxmlformats.org/officeDocument/2006/relationships/hyperlink" Target="https://my.zakupki.prom.ua/remote/dispatcher/state_purchase_view/40317084" TargetMode="External"/><Relationship Id="rId283" Type="http://schemas.openxmlformats.org/officeDocument/2006/relationships/hyperlink" Target="https://my.zakupki.prom.ua/remote/dispatcher/state_purchase_view/43630739" TargetMode="External"/><Relationship Id="rId339" Type="http://schemas.openxmlformats.org/officeDocument/2006/relationships/hyperlink" Target="https://my.zakupivli.pro/remote/dispatcher/state_purchase_view/46983201" TargetMode="External"/><Relationship Id="rId78" Type="http://schemas.openxmlformats.org/officeDocument/2006/relationships/hyperlink" Target="https://my.zakupki.prom.ua/remote/dispatcher/state_purchase_view/41441754" TargetMode="External"/><Relationship Id="rId101" Type="http://schemas.openxmlformats.org/officeDocument/2006/relationships/hyperlink" Target="https://my.zakupki.prom.ua/remote/dispatcher/state_purchase_view/41749941" TargetMode="External"/><Relationship Id="rId143" Type="http://schemas.openxmlformats.org/officeDocument/2006/relationships/hyperlink" Target="https://my.zakupki.prom.ua/remote/dispatcher/state_purchase_view/41814021" TargetMode="External"/><Relationship Id="rId185" Type="http://schemas.openxmlformats.org/officeDocument/2006/relationships/hyperlink" Target="https://my.zakupki.prom.ua/remote/dispatcher/state_purchase_view/41233553" TargetMode="External"/><Relationship Id="rId350" Type="http://schemas.openxmlformats.org/officeDocument/2006/relationships/hyperlink" Target="https://my.zakupivli.pro/remote/dispatcher/state_purchase_view/46707382" TargetMode="External"/><Relationship Id="rId406" Type="http://schemas.openxmlformats.org/officeDocument/2006/relationships/hyperlink" Target="https://my.zakupivli.pro/remote/dispatcher/state_purchase_view/47650833" TargetMode="External"/><Relationship Id="rId9" Type="http://schemas.openxmlformats.org/officeDocument/2006/relationships/hyperlink" Target="https://my.zakupki.prom.ua/remote/dispatcher/state_purchase_view/40639197" TargetMode="External"/><Relationship Id="rId210" Type="http://schemas.openxmlformats.org/officeDocument/2006/relationships/hyperlink" Target="https://my.zakupki.prom.ua/remote/dispatcher/state_purchase_view/43692036" TargetMode="External"/><Relationship Id="rId392" Type="http://schemas.openxmlformats.org/officeDocument/2006/relationships/hyperlink" Target="https://my.zakupivli.pro/remote/dispatcher/state_purchase_view/48089928" TargetMode="External"/><Relationship Id="rId252" Type="http://schemas.openxmlformats.org/officeDocument/2006/relationships/hyperlink" Target="https://my.zakupki.prom.ua/remote/dispatcher/state_purchase_view/44909948" TargetMode="External"/><Relationship Id="rId294" Type="http://schemas.openxmlformats.org/officeDocument/2006/relationships/hyperlink" Target="https://my.zakupki.prom.ua/remote/dispatcher/state_purchase_view/45646602" TargetMode="External"/><Relationship Id="rId308" Type="http://schemas.openxmlformats.org/officeDocument/2006/relationships/hyperlink" Target="https://my.zakupki.prom.ua/remote/dispatcher/state_purchase_view/45214366" TargetMode="External"/><Relationship Id="rId47" Type="http://schemas.openxmlformats.org/officeDocument/2006/relationships/hyperlink" Target="https://my.zakupki.prom.ua/remote/dispatcher/state_purchase_view/40094150" TargetMode="External"/><Relationship Id="rId89" Type="http://schemas.openxmlformats.org/officeDocument/2006/relationships/hyperlink" Target="https://my.zakupki.prom.ua/remote/dispatcher/state_purchase_view/41441754" TargetMode="External"/><Relationship Id="rId112" Type="http://schemas.openxmlformats.org/officeDocument/2006/relationships/hyperlink" Target="https://my.zakupki.prom.ua/remote/dispatcher/state_purchase_view/41733075" TargetMode="External"/><Relationship Id="rId154" Type="http://schemas.openxmlformats.org/officeDocument/2006/relationships/hyperlink" Target="https://my.zakupki.prom.ua/remote/dispatcher/state_purchase_view/41884428" TargetMode="External"/><Relationship Id="rId361" Type="http://schemas.openxmlformats.org/officeDocument/2006/relationships/hyperlink" Target="https://my.zakupivli.pro/remote/dispatcher/state_purchase_view/46468529" TargetMode="External"/><Relationship Id="rId196" Type="http://schemas.openxmlformats.org/officeDocument/2006/relationships/hyperlink" Target="https://my.zakupki.prom.ua/remote/dispatcher/state_purchase_view/41733122" TargetMode="External"/><Relationship Id="rId417" Type="http://schemas.openxmlformats.org/officeDocument/2006/relationships/hyperlink" Target="https://my.zakupivli.pro/remote/dispatcher/state_purchase_view/47305348" TargetMode="External"/><Relationship Id="rId16" Type="http://schemas.openxmlformats.org/officeDocument/2006/relationships/hyperlink" Target="https://my.zakupki.prom.ua/remote/dispatcher/state_purchase_view/40586241" TargetMode="External"/><Relationship Id="rId221" Type="http://schemas.openxmlformats.org/officeDocument/2006/relationships/hyperlink" Target="https://my.zakupki.prom.ua/remote/dispatcher/state_purchase_view/44136009" TargetMode="External"/><Relationship Id="rId263" Type="http://schemas.openxmlformats.org/officeDocument/2006/relationships/hyperlink" Target="https://my.zakupki.prom.ua/remote/dispatcher/state_purchase_view/44846111" TargetMode="External"/><Relationship Id="rId319" Type="http://schemas.openxmlformats.org/officeDocument/2006/relationships/hyperlink" Target="https://my.zakupki.prom.ua/remote/dispatcher/state_purchase_view/45066963" TargetMode="External"/><Relationship Id="rId58" Type="http://schemas.openxmlformats.org/officeDocument/2006/relationships/hyperlink" Target="https://my.zakupki.prom.ua/remote/dispatcher/state_purchase_view/41186817" TargetMode="External"/><Relationship Id="rId123" Type="http://schemas.openxmlformats.org/officeDocument/2006/relationships/hyperlink" Target="https://my.zakupki.prom.ua/remote/dispatcher/state_purchase_view/41632513" TargetMode="External"/><Relationship Id="rId330" Type="http://schemas.openxmlformats.org/officeDocument/2006/relationships/hyperlink" Target="https://my.zakupivli.pro/remote/dispatcher/state_purchase_view/47221863" TargetMode="External"/><Relationship Id="rId165" Type="http://schemas.openxmlformats.org/officeDocument/2006/relationships/hyperlink" Target="https://my.zakupki.prom.ua/remote/dispatcher/state_purchase_view/42061190" TargetMode="External"/><Relationship Id="rId372" Type="http://schemas.openxmlformats.org/officeDocument/2006/relationships/hyperlink" Target="https://my.zakupivli.pro/remote/dispatcher/state_purchase_view/46252518" TargetMode="External"/><Relationship Id="rId232" Type="http://schemas.openxmlformats.org/officeDocument/2006/relationships/hyperlink" Target="https://my.zakupki.prom.ua/remote/dispatcher/state_purchase_view/43999206" TargetMode="External"/><Relationship Id="rId274" Type="http://schemas.openxmlformats.org/officeDocument/2006/relationships/hyperlink" Target="https://my.zakupki.prom.ua/remote/dispatcher/state_purchase_view/44788907" TargetMode="External"/><Relationship Id="rId27" Type="http://schemas.openxmlformats.org/officeDocument/2006/relationships/hyperlink" Target="https://my.zakupki.prom.ua/remote/dispatcher/state_purchase_view/40432061" TargetMode="External"/><Relationship Id="rId69" Type="http://schemas.openxmlformats.org/officeDocument/2006/relationships/hyperlink" Target="https://my.zakupki.prom.ua/remote/dispatcher/state_purchase_view/41141628" TargetMode="External"/><Relationship Id="rId134" Type="http://schemas.openxmlformats.org/officeDocument/2006/relationships/hyperlink" Target="https://my.zakupki.prom.ua/remote/dispatcher/state_purchase_view/42223452" TargetMode="External"/><Relationship Id="rId80" Type="http://schemas.openxmlformats.org/officeDocument/2006/relationships/hyperlink" Target="https://my.zakupki.prom.ua/remote/dispatcher/state_purchase_view/41350021" TargetMode="External"/><Relationship Id="rId176" Type="http://schemas.openxmlformats.org/officeDocument/2006/relationships/hyperlink" Target="https://my.zakupki.prom.ua/remote/dispatcher/state_purchase_view/41196329" TargetMode="External"/><Relationship Id="rId341" Type="http://schemas.openxmlformats.org/officeDocument/2006/relationships/hyperlink" Target="https://my.zakupivli.pro/remote/dispatcher/state_purchase_view/46981380" TargetMode="External"/><Relationship Id="rId383" Type="http://schemas.openxmlformats.org/officeDocument/2006/relationships/hyperlink" Target="https://my.zakupivli.pro/remote/dispatcher/state_purchase_view/45989527" TargetMode="External"/><Relationship Id="rId201" Type="http://schemas.openxmlformats.org/officeDocument/2006/relationships/hyperlink" Target="https://my.zakupki.prom.ua/remote/dispatcher/state_purchase_lot_view/936813" TargetMode="External"/><Relationship Id="rId243" Type="http://schemas.openxmlformats.org/officeDocument/2006/relationships/hyperlink" Target="https://my.zakupki.prom.ua/remote/dispatcher/state_purchase_view/43834982" TargetMode="External"/><Relationship Id="rId285" Type="http://schemas.openxmlformats.org/officeDocument/2006/relationships/hyperlink" Target="https://my.zakupki.prom.ua/remote/dispatcher/state_purchase_view/44158768" TargetMode="External"/><Relationship Id="rId38" Type="http://schemas.openxmlformats.org/officeDocument/2006/relationships/hyperlink" Target="https://my.zakupki.prom.ua/remote/dispatcher/state_purchase_view/40313631" TargetMode="External"/><Relationship Id="rId103" Type="http://schemas.openxmlformats.org/officeDocument/2006/relationships/hyperlink" Target="https://my.zakupki.prom.ua/remote/dispatcher/state_purchase_view/41742669" TargetMode="External"/><Relationship Id="rId310" Type="http://schemas.openxmlformats.org/officeDocument/2006/relationships/hyperlink" Target="https://my.zakupki.prom.ua/remote/dispatcher/state_purchase_view/45207868" TargetMode="External"/><Relationship Id="rId70" Type="http://schemas.openxmlformats.org/officeDocument/2006/relationships/hyperlink" Target="https://my.zakupki.prom.ua/remote/dispatcher/state_purchase_view/41061502" TargetMode="External"/><Relationship Id="rId91" Type="http://schemas.openxmlformats.org/officeDocument/2006/relationships/hyperlink" Target="https://my.zakupki.prom.ua/remote/dispatcher/state_purchase_view/41769311" TargetMode="External"/><Relationship Id="rId145" Type="http://schemas.openxmlformats.org/officeDocument/2006/relationships/hyperlink" Target="https://my.zakupki.prom.ua/remote/dispatcher/state_purchase_view/41876449" TargetMode="External"/><Relationship Id="rId166" Type="http://schemas.openxmlformats.org/officeDocument/2006/relationships/hyperlink" Target="https://my.zakupki.prom.ua/remote/dispatcher/state_purchase_view/42130497" TargetMode="External"/><Relationship Id="rId187" Type="http://schemas.openxmlformats.org/officeDocument/2006/relationships/hyperlink" Target="https://my.zakupki.prom.ua/remote/dispatcher/state_purchase_view/42223452" TargetMode="External"/><Relationship Id="rId331" Type="http://schemas.openxmlformats.org/officeDocument/2006/relationships/hyperlink" Target="https://my.zakupivli.pro/remote/dispatcher/state_purchase_view/47212322" TargetMode="External"/><Relationship Id="rId352" Type="http://schemas.openxmlformats.org/officeDocument/2006/relationships/hyperlink" Target="https://my.zakupivli.pro/remote/dispatcher/state_purchase_view/46706689" TargetMode="External"/><Relationship Id="rId373" Type="http://schemas.openxmlformats.org/officeDocument/2006/relationships/hyperlink" Target="https://my.zakupivli.pro/remote/dispatcher/state_purchase_view/46252214" TargetMode="External"/><Relationship Id="rId394" Type="http://schemas.openxmlformats.org/officeDocument/2006/relationships/hyperlink" Target="https://my.zakupivli.pro/remote/dispatcher/state_purchase_view/48053501" TargetMode="External"/><Relationship Id="rId408" Type="http://schemas.openxmlformats.org/officeDocument/2006/relationships/hyperlink" Target="https://my.zakupivli.pro/remote/dispatcher/state_purchase_view/47649702" TargetMode="External"/><Relationship Id="rId1" Type="http://schemas.openxmlformats.org/officeDocument/2006/relationships/hyperlink" Target="https://my.zakupki.prom.ua/remote/dispatcher/state_purchase_view/40719295" TargetMode="External"/><Relationship Id="rId212" Type="http://schemas.openxmlformats.org/officeDocument/2006/relationships/hyperlink" Target="https://my.zakupki.prom.ua/remote/dispatcher/state_purchase_view/43630739" TargetMode="External"/><Relationship Id="rId233" Type="http://schemas.openxmlformats.org/officeDocument/2006/relationships/hyperlink" Target="https://my.zakupki.prom.ua/remote/dispatcher/state_purchase_view/43971834" TargetMode="External"/><Relationship Id="rId254" Type="http://schemas.openxmlformats.org/officeDocument/2006/relationships/hyperlink" Target="https://my.zakupki.prom.ua/remote/dispatcher/state_purchase_view/44854039" TargetMode="External"/><Relationship Id="rId28" Type="http://schemas.openxmlformats.org/officeDocument/2006/relationships/hyperlink" Target="https://my.zakupki.prom.ua/remote/dispatcher/state_purchase_view/40431571" TargetMode="External"/><Relationship Id="rId49" Type="http://schemas.openxmlformats.org/officeDocument/2006/relationships/hyperlink" Target="https://my.zakupki.prom.ua/remote/dispatcher/state_purchase_view/40084809" TargetMode="External"/><Relationship Id="rId114" Type="http://schemas.openxmlformats.org/officeDocument/2006/relationships/hyperlink" Target="https://my.zakupki.prom.ua/remote/dispatcher/state_purchase_view/41732862" TargetMode="External"/><Relationship Id="rId275" Type="http://schemas.openxmlformats.org/officeDocument/2006/relationships/hyperlink" Target="https://my.zakupki.prom.ua/remote/dispatcher/state_purchase_view/44764303" TargetMode="External"/><Relationship Id="rId296" Type="http://schemas.openxmlformats.org/officeDocument/2006/relationships/hyperlink" Target="https://my.zakupki.prom.ua/remote/dispatcher/state_purchase_view/45586471" TargetMode="External"/><Relationship Id="rId300" Type="http://schemas.openxmlformats.org/officeDocument/2006/relationships/hyperlink" Target="https://my.zakupki.prom.ua/remote/dispatcher/state_purchase_view/45529729" TargetMode="External"/><Relationship Id="rId60" Type="http://schemas.openxmlformats.org/officeDocument/2006/relationships/hyperlink" Target="https://my.zakupki.prom.ua/remote/dispatcher/state_purchase_view/41181354" TargetMode="External"/><Relationship Id="rId81" Type="http://schemas.openxmlformats.org/officeDocument/2006/relationships/hyperlink" Target="https://my.zakupki.prom.ua/remote/dispatcher/state_purchase_view/41349229" TargetMode="External"/><Relationship Id="rId135" Type="http://schemas.openxmlformats.org/officeDocument/2006/relationships/hyperlink" Target="https://my.zakupki.prom.ua/remote/dispatcher/state_purchase_view/42214586" TargetMode="External"/><Relationship Id="rId156" Type="http://schemas.openxmlformats.org/officeDocument/2006/relationships/hyperlink" Target="https://my.zakupki.prom.ua/remote/dispatcher/state_purchase_view/41884694" TargetMode="External"/><Relationship Id="rId177" Type="http://schemas.openxmlformats.org/officeDocument/2006/relationships/hyperlink" Target="https://my.zakupki.prom.ua/remote/dispatcher/state_purchase_view/41196140" TargetMode="External"/><Relationship Id="rId198" Type="http://schemas.openxmlformats.org/officeDocument/2006/relationships/hyperlink" Target="https://my.zakupki.prom.ua/remote/dispatcher/state_purchase_view/43498423" TargetMode="External"/><Relationship Id="rId321" Type="http://schemas.openxmlformats.org/officeDocument/2006/relationships/hyperlink" Target="https://my.zakupki.prom.ua/remote/dispatcher/state_purchase_view/44403314" TargetMode="External"/><Relationship Id="rId342" Type="http://schemas.openxmlformats.org/officeDocument/2006/relationships/hyperlink" Target="https://my.zakupivli.pro/remote/dispatcher/state_purchase_view/46980583" TargetMode="External"/><Relationship Id="rId363" Type="http://schemas.openxmlformats.org/officeDocument/2006/relationships/hyperlink" Target="https://my.zakupivli.pro/remote/dispatcher/state_purchase_view/46429323" TargetMode="External"/><Relationship Id="rId384" Type="http://schemas.openxmlformats.org/officeDocument/2006/relationships/hyperlink" Target="https://my.zakupivli.pro/remote/dispatcher/state_purchase_view/45989082" TargetMode="External"/><Relationship Id="rId419" Type="http://schemas.openxmlformats.org/officeDocument/2006/relationships/hyperlink" Target="https://my.zakupivli.pro/remote/dispatcher/state_purchase_view/47069873" TargetMode="External"/><Relationship Id="rId202" Type="http://schemas.openxmlformats.org/officeDocument/2006/relationships/hyperlink" Target="https://my.zakupki.prom.ua/remote/dispatcher/state_purchase_view/43471077" TargetMode="External"/><Relationship Id="rId223" Type="http://schemas.openxmlformats.org/officeDocument/2006/relationships/hyperlink" Target="https://my.zakupki.prom.ua/remote/dispatcher/state_purchase_view/44135924" TargetMode="External"/><Relationship Id="rId244" Type="http://schemas.openxmlformats.org/officeDocument/2006/relationships/hyperlink" Target="https://my.zakupki.prom.ua/remote/dispatcher/state_purchase_view/43770978" TargetMode="External"/><Relationship Id="rId18" Type="http://schemas.openxmlformats.org/officeDocument/2006/relationships/hyperlink" Target="https://my.zakupki.prom.ua/remote/dispatcher/state_purchase_view/40574766" TargetMode="External"/><Relationship Id="rId39" Type="http://schemas.openxmlformats.org/officeDocument/2006/relationships/hyperlink" Target="https://my.zakupki.prom.ua/remote/dispatcher/state_purchase_view/40265498" TargetMode="External"/><Relationship Id="rId265" Type="http://schemas.openxmlformats.org/officeDocument/2006/relationships/hyperlink" Target="https://my.zakupki.prom.ua/remote/dispatcher/state_purchase_view/44843762" TargetMode="External"/><Relationship Id="rId286" Type="http://schemas.openxmlformats.org/officeDocument/2006/relationships/hyperlink" Target="https://my.zakupki.prom.ua/remote/dispatcher/state_purchase_view/44136009" TargetMode="External"/><Relationship Id="rId50" Type="http://schemas.openxmlformats.org/officeDocument/2006/relationships/hyperlink" Target="https://my.zakupki.prom.ua/remote/dispatcher/state_purchase_view/40059499" TargetMode="External"/><Relationship Id="rId104" Type="http://schemas.openxmlformats.org/officeDocument/2006/relationships/hyperlink" Target="https://my.zakupki.prom.ua/remote/dispatcher/state_purchase_view/41742550" TargetMode="External"/><Relationship Id="rId125" Type="http://schemas.openxmlformats.org/officeDocument/2006/relationships/hyperlink" Target="https://my.zakupki.prom.ua/remote/dispatcher/state_purchase_view/41567196" TargetMode="External"/><Relationship Id="rId146" Type="http://schemas.openxmlformats.org/officeDocument/2006/relationships/hyperlink" Target="https://my.zakupki.prom.ua/remote/dispatcher/state_purchase_view/41876798" TargetMode="External"/><Relationship Id="rId167" Type="http://schemas.openxmlformats.org/officeDocument/2006/relationships/hyperlink" Target="https://my.zakupki.prom.ua/remote/dispatcher/state_purchase_view/42156949" TargetMode="External"/><Relationship Id="rId188" Type="http://schemas.openxmlformats.org/officeDocument/2006/relationships/hyperlink" Target="https://my.zakupki.prom.ua/remote/dispatcher/state_purchase_view/41750108" TargetMode="External"/><Relationship Id="rId311" Type="http://schemas.openxmlformats.org/officeDocument/2006/relationships/hyperlink" Target="https://my.zakupki.prom.ua/remote/dispatcher/state_purchase_view/45207697" TargetMode="External"/><Relationship Id="rId332" Type="http://schemas.openxmlformats.org/officeDocument/2006/relationships/hyperlink" Target="https://my.zakupivli.pro/remote/dispatcher/state_purchase_view/47210423" TargetMode="External"/><Relationship Id="rId353" Type="http://schemas.openxmlformats.org/officeDocument/2006/relationships/hyperlink" Target="https://my.zakupivli.pro/remote/dispatcher/state_purchase_view/46703425" TargetMode="External"/><Relationship Id="rId374" Type="http://schemas.openxmlformats.org/officeDocument/2006/relationships/hyperlink" Target="https://my.zakupivli.pro/remote/dispatcher/state_purchase_view/46146407" TargetMode="External"/><Relationship Id="rId395" Type="http://schemas.openxmlformats.org/officeDocument/2006/relationships/hyperlink" Target="https://my.zakupivli.pro/remote/dispatcher/state_purchase_view/48053316" TargetMode="External"/><Relationship Id="rId409" Type="http://schemas.openxmlformats.org/officeDocument/2006/relationships/hyperlink" Target="https://my.zakupivli.pro/remote/dispatcher/state_purchase_view/47648294" TargetMode="External"/><Relationship Id="rId71" Type="http://schemas.openxmlformats.org/officeDocument/2006/relationships/hyperlink" Target="https://my.zakupki.prom.ua/remote/dispatcher/state_purchase_view/41061347" TargetMode="External"/><Relationship Id="rId92" Type="http://schemas.openxmlformats.org/officeDocument/2006/relationships/hyperlink" Target="https://my.zakupki.prom.ua/remote/dispatcher/state_purchase_view/41768975" TargetMode="External"/><Relationship Id="rId213" Type="http://schemas.openxmlformats.org/officeDocument/2006/relationships/hyperlink" Target="https://my.zakupki.prom.ua/remote/dispatcher/state_purchase_view/43630461" TargetMode="External"/><Relationship Id="rId234" Type="http://schemas.openxmlformats.org/officeDocument/2006/relationships/hyperlink" Target="https://my.zakupki.prom.ua/remote/dispatcher/state_purchase_view/43897803" TargetMode="External"/><Relationship Id="rId420" Type="http://schemas.openxmlformats.org/officeDocument/2006/relationships/hyperlink" Target="https://my.zakupivli.pro/remote/dispatcher/state_purchase_view/46989172" TargetMode="External"/><Relationship Id="rId2" Type="http://schemas.openxmlformats.org/officeDocument/2006/relationships/hyperlink" Target="https://my.zakupki.prom.ua/remote/dispatcher/state_purchase_view/40718737" TargetMode="External"/><Relationship Id="rId29" Type="http://schemas.openxmlformats.org/officeDocument/2006/relationships/hyperlink" Target="https://my.zakupki.prom.ua/remote/dispatcher/state_purchase_view/40431370" TargetMode="External"/><Relationship Id="rId255" Type="http://schemas.openxmlformats.org/officeDocument/2006/relationships/hyperlink" Target="https://my.zakupki.prom.ua/remote/dispatcher/state_purchase_view/44849025" TargetMode="External"/><Relationship Id="rId276" Type="http://schemas.openxmlformats.org/officeDocument/2006/relationships/hyperlink" Target="https://my.zakupki.prom.ua/remote/dispatcher/state_purchase_view/44710051" TargetMode="External"/><Relationship Id="rId297" Type="http://schemas.openxmlformats.org/officeDocument/2006/relationships/hyperlink" Target="https://my.zakupki.prom.ua/remote/dispatcher/state_purchase_view/45548727" TargetMode="External"/><Relationship Id="rId40" Type="http://schemas.openxmlformats.org/officeDocument/2006/relationships/hyperlink" Target="https://my.zakupki.prom.ua/remote/dispatcher/state_purchase_view/40265218" TargetMode="External"/><Relationship Id="rId115" Type="http://schemas.openxmlformats.org/officeDocument/2006/relationships/hyperlink" Target="https://my.zakupki.prom.ua/remote/dispatcher/state_purchase_view/41732845" TargetMode="External"/><Relationship Id="rId136" Type="http://schemas.openxmlformats.org/officeDocument/2006/relationships/hyperlink" Target="https://my.zakupki.prom.ua/remote/dispatcher/state_purchase_view/42185508" TargetMode="External"/><Relationship Id="rId157" Type="http://schemas.openxmlformats.org/officeDocument/2006/relationships/hyperlink" Target="https://my.zakupki.prom.ua/remote/dispatcher/state_purchase_view/41884754" TargetMode="External"/><Relationship Id="rId178" Type="http://schemas.openxmlformats.org/officeDocument/2006/relationships/hyperlink" Target="https://my.zakupki.prom.ua/remote/dispatcher/state_purchase_view/41733075" TargetMode="External"/><Relationship Id="rId301" Type="http://schemas.openxmlformats.org/officeDocument/2006/relationships/hyperlink" Target="https://my.zakupki.prom.ua/remote/dispatcher/state_purchase_view/45497264" TargetMode="External"/><Relationship Id="rId322" Type="http://schemas.openxmlformats.org/officeDocument/2006/relationships/hyperlink" Target="https://my.zakupki.prom.ua/remote/dispatcher/state_purchase_view/44398376" TargetMode="External"/><Relationship Id="rId343" Type="http://schemas.openxmlformats.org/officeDocument/2006/relationships/hyperlink" Target="https://my.zakupivli.pro/remote/dispatcher/state_purchase_view/46911475" TargetMode="External"/><Relationship Id="rId364" Type="http://schemas.openxmlformats.org/officeDocument/2006/relationships/hyperlink" Target="https://my.zakupivli.pro/remote/dispatcher/state_purchase_view/46428921" TargetMode="External"/><Relationship Id="rId61" Type="http://schemas.openxmlformats.org/officeDocument/2006/relationships/hyperlink" Target="https://my.zakupki.prom.ua/remote/dispatcher/state_purchase_view/41167500" TargetMode="External"/><Relationship Id="rId82" Type="http://schemas.openxmlformats.org/officeDocument/2006/relationships/hyperlink" Target="https://my.zakupki.prom.ua/remote/dispatcher/state_purchase_view/41332959" TargetMode="External"/><Relationship Id="rId199" Type="http://schemas.openxmlformats.org/officeDocument/2006/relationships/hyperlink" Target="https://my.zakupki.prom.ua/remote/dispatcher/state_purchase_view/43498168" TargetMode="External"/><Relationship Id="rId203" Type="http://schemas.openxmlformats.org/officeDocument/2006/relationships/hyperlink" Target="https://my.zakupki.prom.ua/remote/dispatcher/state_purchase_view/43471883" TargetMode="External"/><Relationship Id="rId385" Type="http://schemas.openxmlformats.org/officeDocument/2006/relationships/hyperlink" Target="https://my.zakupivli.pro/remote/dispatcher/state_purchase_view/45459897" TargetMode="External"/><Relationship Id="rId19" Type="http://schemas.openxmlformats.org/officeDocument/2006/relationships/hyperlink" Target="https://my.zakupki.prom.ua/remote/dispatcher/state_purchase_view/40574684" TargetMode="External"/><Relationship Id="rId224" Type="http://schemas.openxmlformats.org/officeDocument/2006/relationships/hyperlink" Target="https://my.zakupki.prom.ua/remote/dispatcher/state_purchase_view/44135817" TargetMode="External"/><Relationship Id="rId245" Type="http://schemas.openxmlformats.org/officeDocument/2006/relationships/hyperlink" Target="https://my.zakupki.prom.ua/remote/dispatcher/state_purchase_view/43770616" TargetMode="External"/><Relationship Id="rId266" Type="http://schemas.openxmlformats.org/officeDocument/2006/relationships/hyperlink" Target="https://my.zakupki.prom.ua/remote/dispatcher/state_purchase_view/44843276" TargetMode="External"/><Relationship Id="rId287" Type="http://schemas.openxmlformats.org/officeDocument/2006/relationships/hyperlink" Target="https://my.zakupki.prom.ua/remote/dispatcher/state_purchase_view/43722659" TargetMode="External"/><Relationship Id="rId410" Type="http://schemas.openxmlformats.org/officeDocument/2006/relationships/hyperlink" Target="https://my.zakupivli.pro/remote/dispatcher/state_purchase_view/47647259" TargetMode="External"/><Relationship Id="rId30" Type="http://schemas.openxmlformats.org/officeDocument/2006/relationships/hyperlink" Target="https://my.zakupki.prom.ua/remote/dispatcher/state_purchase_view/40430380" TargetMode="External"/><Relationship Id="rId105" Type="http://schemas.openxmlformats.org/officeDocument/2006/relationships/hyperlink" Target="https://my.zakupki.prom.ua/remote/dispatcher/state_purchase_view/41733153" TargetMode="External"/><Relationship Id="rId126" Type="http://schemas.openxmlformats.org/officeDocument/2006/relationships/hyperlink" Target="https://my.zakupki.prom.ua/remote/dispatcher/state_purchase_view/41295450" TargetMode="External"/><Relationship Id="rId147" Type="http://schemas.openxmlformats.org/officeDocument/2006/relationships/hyperlink" Target="https://my.zakupki.prom.ua/remote/dispatcher/state_purchase_view/41876973" TargetMode="External"/><Relationship Id="rId168" Type="http://schemas.openxmlformats.org/officeDocument/2006/relationships/hyperlink" Target="https://my.zakupki.prom.ua/remote/dispatcher/state_purchase_view/42170648" TargetMode="External"/><Relationship Id="rId312" Type="http://schemas.openxmlformats.org/officeDocument/2006/relationships/hyperlink" Target="https://my.zakupki.prom.ua/remote/dispatcher/state_purchase_view/45207138" TargetMode="External"/><Relationship Id="rId333" Type="http://schemas.openxmlformats.org/officeDocument/2006/relationships/hyperlink" Target="https://my.zakupivli.pro/remote/dispatcher/state_purchase_view/47209371" TargetMode="External"/><Relationship Id="rId354" Type="http://schemas.openxmlformats.org/officeDocument/2006/relationships/hyperlink" Target="https://my.zakupivli.pro/remote/dispatcher/state_purchase_view/46702882" TargetMode="External"/><Relationship Id="rId51" Type="http://schemas.openxmlformats.org/officeDocument/2006/relationships/hyperlink" Target="https://my.zakupki.prom.ua/remote/dispatcher/state_purchase_view/40058690" TargetMode="External"/><Relationship Id="rId72" Type="http://schemas.openxmlformats.org/officeDocument/2006/relationships/hyperlink" Target="https://my.zakupki.prom.ua/remote/dispatcher/state_purchase_view/41060745" TargetMode="External"/><Relationship Id="rId93" Type="http://schemas.openxmlformats.org/officeDocument/2006/relationships/hyperlink" Target="https://my.zakupki.prom.ua/remote/dispatcher/state_purchase_view/41768435" TargetMode="External"/><Relationship Id="rId189" Type="http://schemas.openxmlformats.org/officeDocument/2006/relationships/hyperlink" Target="https://my.zakupki.prom.ua/remote/dispatcher/state_purchase_view/41750366" TargetMode="External"/><Relationship Id="rId375" Type="http://schemas.openxmlformats.org/officeDocument/2006/relationships/hyperlink" Target="https://my.zakupivli.pro/remote/dispatcher/state_purchase_view/46145937" TargetMode="External"/><Relationship Id="rId396" Type="http://schemas.openxmlformats.org/officeDocument/2006/relationships/hyperlink" Target="https://my.zakupivli.pro/remote/dispatcher/state_purchase_view/48053112" TargetMode="External"/><Relationship Id="rId3" Type="http://schemas.openxmlformats.org/officeDocument/2006/relationships/hyperlink" Target="https://my.zakupki.prom.ua/remote/dispatcher/state_purchase_view/40718302" TargetMode="External"/><Relationship Id="rId214" Type="http://schemas.openxmlformats.org/officeDocument/2006/relationships/hyperlink" Target="https://my.zakupki.prom.ua/remote/dispatcher/state_purchase_view/43565657" TargetMode="External"/><Relationship Id="rId235" Type="http://schemas.openxmlformats.org/officeDocument/2006/relationships/hyperlink" Target="https://my.zakupki.prom.ua/remote/dispatcher/state_purchase_view/43897561" TargetMode="External"/><Relationship Id="rId256" Type="http://schemas.openxmlformats.org/officeDocument/2006/relationships/hyperlink" Target="https://my.zakupki.prom.ua/remote/dispatcher/state_purchase_view/44848946" TargetMode="External"/><Relationship Id="rId277" Type="http://schemas.openxmlformats.org/officeDocument/2006/relationships/hyperlink" Target="https://my.zakupki.prom.ua/remote/dispatcher/state_purchase_view/44687800" TargetMode="External"/><Relationship Id="rId298" Type="http://schemas.openxmlformats.org/officeDocument/2006/relationships/hyperlink" Target="https://my.zakupki.prom.ua/remote/dispatcher/state_purchase_view/45547962" TargetMode="External"/><Relationship Id="rId400" Type="http://schemas.openxmlformats.org/officeDocument/2006/relationships/hyperlink" Target="https://my.zakupivli.pro/remote/dispatcher/state_purchase_view/47808365" TargetMode="External"/><Relationship Id="rId421" Type="http://schemas.openxmlformats.org/officeDocument/2006/relationships/hyperlink" Target="https://my.zakupivli.pro/remote/dispatcher/state_purchase_view/46953912" TargetMode="External"/><Relationship Id="rId116" Type="http://schemas.openxmlformats.org/officeDocument/2006/relationships/hyperlink" Target="https://my.zakupki.prom.ua/remote/dispatcher/state_purchase_view/41632628" TargetMode="External"/><Relationship Id="rId137" Type="http://schemas.openxmlformats.org/officeDocument/2006/relationships/hyperlink" Target="https://my.zakupki.prom.ua/remote/dispatcher/state_purchase_view/41339436" TargetMode="External"/><Relationship Id="rId158" Type="http://schemas.openxmlformats.org/officeDocument/2006/relationships/hyperlink" Target="https://my.zakupki.prom.ua/remote/dispatcher/state_purchase_view/41940109" TargetMode="External"/><Relationship Id="rId302" Type="http://schemas.openxmlformats.org/officeDocument/2006/relationships/hyperlink" Target="https://my.zakupki.prom.ua/remote/dispatcher/state_purchase_view/45464695" TargetMode="External"/><Relationship Id="rId323" Type="http://schemas.openxmlformats.org/officeDocument/2006/relationships/hyperlink" Target="https://my.zakupki.prom.ua/remote/dispatcher/state_purchase_view/44375441" TargetMode="External"/><Relationship Id="rId344" Type="http://schemas.openxmlformats.org/officeDocument/2006/relationships/hyperlink" Target="https://my.zakupivli.pro/remote/dispatcher/state_purchase_view/46909381" TargetMode="External"/><Relationship Id="rId20" Type="http://schemas.openxmlformats.org/officeDocument/2006/relationships/hyperlink" Target="https://my.zakupki.prom.ua/remote/dispatcher/state_purchase_view/40572713" TargetMode="External"/><Relationship Id="rId41" Type="http://schemas.openxmlformats.org/officeDocument/2006/relationships/hyperlink" Target="https://my.zakupki.prom.ua/remote/dispatcher/state_purchase_view/40264915" TargetMode="External"/><Relationship Id="rId62" Type="http://schemas.openxmlformats.org/officeDocument/2006/relationships/hyperlink" Target="https://my.zakupki.prom.ua/remote/dispatcher/state_purchase_view/41167214" TargetMode="External"/><Relationship Id="rId83" Type="http://schemas.openxmlformats.org/officeDocument/2006/relationships/hyperlink" Target="https://my.zakupki.prom.ua/remote/dispatcher/state_purchase_view/41311020" TargetMode="External"/><Relationship Id="rId179" Type="http://schemas.openxmlformats.org/officeDocument/2006/relationships/hyperlink" Target="https://my.zakupki.prom.ua/remote/dispatcher/state_purchase_view/42283558" TargetMode="External"/><Relationship Id="rId365" Type="http://schemas.openxmlformats.org/officeDocument/2006/relationships/hyperlink" Target="https://my.zakupivli.pro/remote/dispatcher/state_purchase_view/46324664" TargetMode="External"/><Relationship Id="rId386" Type="http://schemas.openxmlformats.org/officeDocument/2006/relationships/hyperlink" Target="https://my.zakupivli.pro/remote/dispatcher/state_purchase_view/45461672" TargetMode="External"/><Relationship Id="rId190" Type="http://schemas.openxmlformats.org/officeDocument/2006/relationships/hyperlink" Target="https://my.zakupki.prom.ua/remote/dispatcher/state_purchase_view/41733137" TargetMode="External"/><Relationship Id="rId204" Type="http://schemas.openxmlformats.org/officeDocument/2006/relationships/hyperlink" Target="https://my.zakupki.prom.ua/remote/dispatcher/state_purchase_view/43472312" TargetMode="External"/><Relationship Id="rId225" Type="http://schemas.openxmlformats.org/officeDocument/2006/relationships/hyperlink" Target="https://my.zakupki.prom.ua/remote/dispatcher/state_purchase_view/44135467" TargetMode="External"/><Relationship Id="rId246" Type="http://schemas.openxmlformats.org/officeDocument/2006/relationships/hyperlink" Target="https://my.zakupki.prom.ua/remote/dispatcher/state_purchase_view/44933197" TargetMode="External"/><Relationship Id="rId267" Type="http://schemas.openxmlformats.org/officeDocument/2006/relationships/hyperlink" Target="https://my.zakupki.prom.ua/remote/dispatcher/state_purchase_view/44802631" TargetMode="External"/><Relationship Id="rId288" Type="http://schemas.openxmlformats.org/officeDocument/2006/relationships/hyperlink" Target="https://my.zakupki.prom.ua/remote/dispatcher/state_purchase_view/43721938" TargetMode="External"/><Relationship Id="rId411" Type="http://schemas.openxmlformats.org/officeDocument/2006/relationships/hyperlink" Target="https://my.zakupivli.pro/remote/dispatcher/state_purchase_view/47614232" TargetMode="External"/><Relationship Id="rId106" Type="http://schemas.openxmlformats.org/officeDocument/2006/relationships/hyperlink" Target="https://my.zakupki.prom.ua/remote/dispatcher/state_purchase_view/41733143" TargetMode="External"/><Relationship Id="rId127" Type="http://schemas.openxmlformats.org/officeDocument/2006/relationships/hyperlink" Target="https://my.zakupki.prom.ua/remote/dispatcher/state_purchase_view/41607006" TargetMode="External"/><Relationship Id="rId313" Type="http://schemas.openxmlformats.org/officeDocument/2006/relationships/hyperlink" Target="https://my.zakupki.prom.ua/remote/dispatcher/state_purchase_view/45206317" TargetMode="External"/><Relationship Id="rId10" Type="http://schemas.openxmlformats.org/officeDocument/2006/relationships/hyperlink" Target="https://my.zakupki.prom.ua/remote/dispatcher/state_purchase_view/40638531" TargetMode="External"/><Relationship Id="rId31" Type="http://schemas.openxmlformats.org/officeDocument/2006/relationships/hyperlink" Target="https://my.zakupki.prom.ua/remote/dispatcher/state_purchase_view/40428557" TargetMode="External"/><Relationship Id="rId52" Type="http://schemas.openxmlformats.org/officeDocument/2006/relationships/hyperlink" Target="https://my.zakupki.prom.ua/remote/dispatcher/state_purchase_view/40008355" TargetMode="External"/><Relationship Id="rId73" Type="http://schemas.openxmlformats.org/officeDocument/2006/relationships/hyperlink" Target="https://my.zakupki.prom.ua/remote/dispatcher/state_purchase_view/41030083" TargetMode="External"/><Relationship Id="rId94" Type="http://schemas.openxmlformats.org/officeDocument/2006/relationships/hyperlink" Target="https://my.zakupki.prom.ua/remote/dispatcher/state_purchase_view/41766739" TargetMode="External"/><Relationship Id="rId148" Type="http://schemas.openxmlformats.org/officeDocument/2006/relationships/hyperlink" Target="https://my.zakupki.prom.ua/remote/dispatcher/state_purchase_view/41877567" TargetMode="External"/><Relationship Id="rId169" Type="http://schemas.openxmlformats.org/officeDocument/2006/relationships/hyperlink" Target="https://my.zakupki.prom.ua/remote/dispatcher/state_purchase_view/42183159" TargetMode="External"/><Relationship Id="rId334" Type="http://schemas.openxmlformats.org/officeDocument/2006/relationships/hyperlink" Target="https://my.zakupivli.pro/remote/dispatcher/state_purchase_view/47208842" TargetMode="External"/><Relationship Id="rId355" Type="http://schemas.openxmlformats.org/officeDocument/2006/relationships/hyperlink" Target="https://my.zakupivli.pro/remote/dispatcher/state_purchase_view/46702303" TargetMode="External"/><Relationship Id="rId376" Type="http://schemas.openxmlformats.org/officeDocument/2006/relationships/hyperlink" Target="https://my.zakupivli.pro/remote/dispatcher/state_purchase_view/46144996" TargetMode="External"/><Relationship Id="rId397" Type="http://schemas.openxmlformats.org/officeDocument/2006/relationships/hyperlink" Target="https://my.zakupivli.pro/remote/dispatcher/state_purchase_view/48052343" TargetMode="External"/><Relationship Id="rId4" Type="http://schemas.openxmlformats.org/officeDocument/2006/relationships/hyperlink" Target="https://my.zakupki.prom.ua/remote/dispatcher/state_purchase_view/40685006" TargetMode="External"/><Relationship Id="rId180" Type="http://schemas.openxmlformats.org/officeDocument/2006/relationships/hyperlink" Target="https://my.zakupki.prom.ua/remote/dispatcher/state_purchase_view/42285406" TargetMode="External"/><Relationship Id="rId215" Type="http://schemas.openxmlformats.org/officeDocument/2006/relationships/hyperlink" Target="https://my.zakupki.prom.ua/remote/dispatcher/state_purchase_view/43538362" TargetMode="External"/><Relationship Id="rId236" Type="http://schemas.openxmlformats.org/officeDocument/2006/relationships/hyperlink" Target="https://my.zakupki.prom.ua/remote/dispatcher/state_purchase_view/43897159" TargetMode="External"/><Relationship Id="rId257" Type="http://schemas.openxmlformats.org/officeDocument/2006/relationships/hyperlink" Target="https://my.zakupki.prom.ua/remote/dispatcher/state_purchase_view/44848888" TargetMode="External"/><Relationship Id="rId278" Type="http://schemas.openxmlformats.org/officeDocument/2006/relationships/hyperlink" Target="https://my.zakupki.prom.ua/remote/dispatcher/state_purchase_view/44680118" TargetMode="External"/><Relationship Id="rId401" Type="http://schemas.openxmlformats.org/officeDocument/2006/relationships/hyperlink" Target="https://my.zakupivli.pro/remote/dispatcher/state_purchase_view/47807275" TargetMode="External"/><Relationship Id="rId422" Type="http://schemas.openxmlformats.org/officeDocument/2006/relationships/hyperlink" Target="https://my.zakupivli.pro/remote/dispatcher/state_purchase_view/46821961" TargetMode="External"/><Relationship Id="rId303" Type="http://schemas.openxmlformats.org/officeDocument/2006/relationships/hyperlink" Target="https://my.zakupki.prom.ua/remote/dispatcher/state_purchase_view/45463979" TargetMode="External"/><Relationship Id="rId42" Type="http://schemas.openxmlformats.org/officeDocument/2006/relationships/hyperlink" Target="https://my.zakupki.prom.ua/remote/dispatcher/state_purchase_view/40264530" TargetMode="External"/><Relationship Id="rId84" Type="http://schemas.openxmlformats.org/officeDocument/2006/relationships/hyperlink" Target="https://my.zakupki.prom.ua/remote/dispatcher/state_purchase_view/41262256" TargetMode="External"/><Relationship Id="rId138" Type="http://schemas.openxmlformats.org/officeDocument/2006/relationships/hyperlink" Target="https://my.zakupki.prom.ua/remote/dispatcher/state_purchase_view/41618203" TargetMode="External"/><Relationship Id="rId345" Type="http://schemas.openxmlformats.org/officeDocument/2006/relationships/hyperlink" Target="https://my.zakupivli.pro/remote/dispatcher/state_purchase_view/46866313" TargetMode="External"/><Relationship Id="rId387" Type="http://schemas.openxmlformats.org/officeDocument/2006/relationships/hyperlink" Target="https://my.zakupivli.pro/remote/dispatcher/state_purchase_view/45646566" TargetMode="External"/><Relationship Id="rId191" Type="http://schemas.openxmlformats.org/officeDocument/2006/relationships/hyperlink" Target="https://my.zakupki.prom.ua/remote/dispatcher/state_purchase_view/41749893" TargetMode="External"/><Relationship Id="rId205" Type="http://schemas.openxmlformats.org/officeDocument/2006/relationships/hyperlink" Target="https://my.zakupki.prom.ua/remote/dispatcher/state_purchase_view/43725402" TargetMode="External"/><Relationship Id="rId247" Type="http://schemas.openxmlformats.org/officeDocument/2006/relationships/hyperlink" Target="https://my.zakupki.prom.ua/remote/dispatcher/state_purchase_view/44915931" TargetMode="External"/><Relationship Id="rId412" Type="http://schemas.openxmlformats.org/officeDocument/2006/relationships/hyperlink" Target="https://my.zakupivli.pro/remote/dispatcher/state_purchase_view/47561105" TargetMode="External"/><Relationship Id="rId107" Type="http://schemas.openxmlformats.org/officeDocument/2006/relationships/hyperlink" Target="https://my.zakupki.prom.ua/remote/dispatcher/state_purchase_view/41733137" TargetMode="External"/><Relationship Id="rId289" Type="http://schemas.openxmlformats.org/officeDocument/2006/relationships/hyperlink" Target="https://my.zakupki.prom.ua/remote/dispatcher/state_purchase_view/43692305" TargetMode="External"/><Relationship Id="rId11" Type="http://schemas.openxmlformats.org/officeDocument/2006/relationships/hyperlink" Target="https://my.zakupki.prom.ua/remote/dispatcher/state_purchase_view/40637392" TargetMode="External"/><Relationship Id="rId53" Type="http://schemas.openxmlformats.org/officeDocument/2006/relationships/hyperlink" Target="https://my.zakupki.prom.ua/remote/dispatcher/state_purchase_view/41196329" TargetMode="External"/><Relationship Id="rId149" Type="http://schemas.openxmlformats.org/officeDocument/2006/relationships/hyperlink" Target="https://my.zakupki.prom.ua/remote/dispatcher/state_purchase_view/41878091" TargetMode="External"/><Relationship Id="rId314" Type="http://schemas.openxmlformats.org/officeDocument/2006/relationships/hyperlink" Target="https://my.zakupki.prom.ua/remote/dispatcher/state_purchase_view/45082620" TargetMode="External"/><Relationship Id="rId356" Type="http://schemas.openxmlformats.org/officeDocument/2006/relationships/hyperlink" Target="https://my.zakupivli.pro/remote/dispatcher/state_purchase_view/46564828" TargetMode="External"/><Relationship Id="rId398" Type="http://schemas.openxmlformats.org/officeDocument/2006/relationships/hyperlink" Target="https://my.zakupivli.pro/remote/dispatcher/state_purchase_view/47845587" TargetMode="External"/><Relationship Id="rId95" Type="http://schemas.openxmlformats.org/officeDocument/2006/relationships/hyperlink" Target="https://my.zakupki.prom.ua/remote/dispatcher/state_purchase_view/41766144" TargetMode="External"/><Relationship Id="rId160" Type="http://schemas.openxmlformats.org/officeDocument/2006/relationships/hyperlink" Target="https://my.zakupki.prom.ua/remote/dispatcher/state_purchase_view/41981897" TargetMode="External"/><Relationship Id="rId216" Type="http://schemas.openxmlformats.org/officeDocument/2006/relationships/hyperlink" Target="https://my.zakupki.prom.ua/remote/dispatcher/state_purchase_view/43537305" TargetMode="External"/><Relationship Id="rId423" Type="http://schemas.openxmlformats.org/officeDocument/2006/relationships/hyperlink" Target="https://my.zakupivli.pro/remote/dispatcher/state_purchase_view/46471534" TargetMode="External"/><Relationship Id="rId258" Type="http://schemas.openxmlformats.org/officeDocument/2006/relationships/hyperlink" Target="https://my.zakupki.prom.ua/remote/dispatcher/state_purchase_view/44848353" TargetMode="External"/><Relationship Id="rId22" Type="http://schemas.openxmlformats.org/officeDocument/2006/relationships/hyperlink" Target="https://my.zakupki.prom.ua/remote/dispatcher/state_purchase_view/40534710" TargetMode="External"/><Relationship Id="rId64" Type="http://schemas.openxmlformats.org/officeDocument/2006/relationships/hyperlink" Target="https://my.zakupki.prom.ua/remote/dispatcher/state_purchase_view/41166410" TargetMode="External"/><Relationship Id="rId118" Type="http://schemas.openxmlformats.org/officeDocument/2006/relationships/hyperlink" Target="https://my.zakupki.prom.ua/remote/dispatcher/state_purchase_view/41632609" TargetMode="External"/><Relationship Id="rId325" Type="http://schemas.openxmlformats.org/officeDocument/2006/relationships/hyperlink" Target="https://my.zakupki.prom.ua/remote/dispatcher/state_purchase_view/44915454" TargetMode="External"/><Relationship Id="rId367" Type="http://schemas.openxmlformats.org/officeDocument/2006/relationships/hyperlink" Target="https://my.zakupivli.pro/remote/dispatcher/state_purchase_view/46324069" TargetMode="External"/><Relationship Id="rId171" Type="http://schemas.openxmlformats.org/officeDocument/2006/relationships/hyperlink" Target="https://my.zakupki.prom.ua/remote/dispatcher/state_purchase_view/40684940" TargetMode="External"/><Relationship Id="rId227" Type="http://schemas.openxmlformats.org/officeDocument/2006/relationships/hyperlink" Target="https://my.zakupki.prom.ua/remote/dispatcher/state_purchase_view/44104782" TargetMode="External"/><Relationship Id="rId269" Type="http://schemas.openxmlformats.org/officeDocument/2006/relationships/hyperlink" Target="https://my.zakupki.prom.ua/remote/dispatcher/state_purchase_view/44793868" TargetMode="External"/><Relationship Id="rId33" Type="http://schemas.openxmlformats.org/officeDocument/2006/relationships/hyperlink" Target="https://my.zakupki.prom.ua/remote/dispatcher/state_purchase_view/40319672" TargetMode="External"/><Relationship Id="rId129" Type="http://schemas.openxmlformats.org/officeDocument/2006/relationships/hyperlink" Target="https://my.zakupki.prom.ua/remote/dispatcher/state_purchase_view/42285406" TargetMode="External"/><Relationship Id="rId280" Type="http://schemas.openxmlformats.org/officeDocument/2006/relationships/hyperlink" Target="https://my.zakupki.prom.ua/remote/dispatcher/state_purchase_view/44373904" TargetMode="External"/><Relationship Id="rId336" Type="http://schemas.openxmlformats.org/officeDocument/2006/relationships/hyperlink" Target="https://my.zakupivli.pro/remote/dispatcher/state_purchase_view/47207159" TargetMode="External"/><Relationship Id="rId75" Type="http://schemas.openxmlformats.org/officeDocument/2006/relationships/hyperlink" Target="https://my.zakupki.prom.ua/remote/dispatcher/state_purchase_view/41578520" TargetMode="External"/><Relationship Id="rId140" Type="http://schemas.openxmlformats.org/officeDocument/2006/relationships/hyperlink" Target="https://my.zakupki.prom.ua/remote/dispatcher/state_purchase_view/41806729" TargetMode="External"/><Relationship Id="rId182" Type="http://schemas.openxmlformats.org/officeDocument/2006/relationships/hyperlink" Target="https://my.zakupki.prom.ua/remote/dispatcher/state_purchase_view/41742669" TargetMode="External"/><Relationship Id="rId378" Type="http://schemas.openxmlformats.org/officeDocument/2006/relationships/hyperlink" Target="https://my.zakupivli.pro/remote/dispatcher/state_purchase_view/46137735" TargetMode="External"/><Relationship Id="rId403" Type="http://schemas.openxmlformats.org/officeDocument/2006/relationships/hyperlink" Target="https://my.zakupivli.pro/remote/dispatcher/state_purchase_view/47754389" TargetMode="External"/><Relationship Id="rId6" Type="http://schemas.openxmlformats.org/officeDocument/2006/relationships/hyperlink" Target="https://my.zakupki.prom.ua/remote/dispatcher/state_purchase_view/40684109" TargetMode="External"/><Relationship Id="rId238" Type="http://schemas.openxmlformats.org/officeDocument/2006/relationships/hyperlink" Target="https://my.zakupki.prom.ua/remote/dispatcher/state_purchase_view/43870516" TargetMode="External"/><Relationship Id="rId291" Type="http://schemas.openxmlformats.org/officeDocument/2006/relationships/hyperlink" Target="https://my.zakupki.prom.ua/remote/dispatcher/state_purchase_view/45646702" TargetMode="External"/><Relationship Id="rId305" Type="http://schemas.openxmlformats.org/officeDocument/2006/relationships/hyperlink" Target="https://my.zakupki.prom.ua/remote/dispatcher/state_purchase_view/45463061" TargetMode="External"/><Relationship Id="rId347" Type="http://schemas.openxmlformats.org/officeDocument/2006/relationships/hyperlink" Target="https://my.zakupivli.pro/remote/dispatcher/state_purchase_view/46824669" TargetMode="External"/><Relationship Id="rId44" Type="http://schemas.openxmlformats.org/officeDocument/2006/relationships/hyperlink" Target="https://my.zakupki.prom.ua/remote/dispatcher/state_purchase_view/40263110" TargetMode="External"/><Relationship Id="rId86" Type="http://schemas.openxmlformats.org/officeDocument/2006/relationships/hyperlink" Target="https://my.zakupki.prom.ua/remote/dispatcher/state_purchase_view/41235675" TargetMode="External"/><Relationship Id="rId151" Type="http://schemas.openxmlformats.org/officeDocument/2006/relationships/hyperlink" Target="https://my.zakupki.prom.ua/remote/dispatcher/state_purchase_view/41883863" TargetMode="External"/><Relationship Id="rId389" Type="http://schemas.openxmlformats.org/officeDocument/2006/relationships/hyperlink" Target="https://my.zakupivli.pro/remote/dispatcher/state_purchase_view/47236056" TargetMode="External"/><Relationship Id="rId193" Type="http://schemas.openxmlformats.org/officeDocument/2006/relationships/hyperlink" Target="https://my.zakupki.prom.ua/remote/dispatcher/state_purchase_view/42285406" TargetMode="External"/><Relationship Id="rId207" Type="http://schemas.openxmlformats.org/officeDocument/2006/relationships/hyperlink" Target="https://my.zakupki.prom.ua/remote/dispatcher/state_purchase_view/43722659" TargetMode="External"/><Relationship Id="rId249" Type="http://schemas.openxmlformats.org/officeDocument/2006/relationships/hyperlink" Target="https://my.zakupki.prom.ua/remote/dispatcher/state_purchase_view/44915454" TargetMode="External"/><Relationship Id="rId414" Type="http://schemas.openxmlformats.org/officeDocument/2006/relationships/hyperlink" Target="https://my.zakupivli.pro/remote/dispatcher/state_purchase_view/47560343" TargetMode="External"/><Relationship Id="rId13" Type="http://schemas.openxmlformats.org/officeDocument/2006/relationships/hyperlink" Target="https://my.zakupki.prom.ua/remote/dispatcher/state_purchase_view/40606829" TargetMode="External"/><Relationship Id="rId109" Type="http://schemas.openxmlformats.org/officeDocument/2006/relationships/hyperlink" Target="https://my.zakupki.prom.ua/remote/dispatcher/state_purchase_view/41733109" TargetMode="External"/><Relationship Id="rId260" Type="http://schemas.openxmlformats.org/officeDocument/2006/relationships/hyperlink" Target="https://my.zakupki.prom.ua/remote/dispatcher/state_purchase_view/44847008" TargetMode="External"/><Relationship Id="rId316" Type="http://schemas.openxmlformats.org/officeDocument/2006/relationships/hyperlink" Target="https://my.zakupki.prom.ua/remote/dispatcher/state_purchase_view/45069431" TargetMode="External"/><Relationship Id="rId55" Type="http://schemas.openxmlformats.org/officeDocument/2006/relationships/hyperlink" Target="https://my.zakupki.prom.ua/remote/dispatcher/state_purchase_view/41190053" TargetMode="External"/><Relationship Id="rId97" Type="http://schemas.openxmlformats.org/officeDocument/2006/relationships/hyperlink" Target="https://my.zakupki.prom.ua/remote/dispatcher/state_purchase_view/41750366" TargetMode="External"/><Relationship Id="rId120" Type="http://schemas.openxmlformats.org/officeDocument/2006/relationships/hyperlink" Target="https://my.zakupki.prom.ua/remote/dispatcher/state_purchase_view/41632545" TargetMode="External"/><Relationship Id="rId358" Type="http://schemas.openxmlformats.org/officeDocument/2006/relationships/hyperlink" Target="https://my.zakupivli.pro/remote/dispatcher/state_purchase_view/46553876" TargetMode="External"/><Relationship Id="rId162" Type="http://schemas.openxmlformats.org/officeDocument/2006/relationships/hyperlink" Target="https://my.zakupki.prom.ua/remote/dispatcher/state_purchase_view/41982424" TargetMode="External"/><Relationship Id="rId218" Type="http://schemas.openxmlformats.org/officeDocument/2006/relationships/hyperlink" Target="https://my.zakupki.prom.ua/remote/dispatcher/state_purchase_view/44166126" TargetMode="External"/><Relationship Id="rId425" Type="http://schemas.openxmlformats.org/officeDocument/2006/relationships/hyperlink" Target="https://my.zakupivli.pro/remote/dispatcher/state_purchase_view/46821961" TargetMode="External"/><Relationship Id="rId271" Type="http://schemas.openxmlformats.org/officeDocument/2006/relationships/hyperlink" Target="https://my.zakupki.prom.ua/remote/dispatcher/state_purchase_view/44790376" TargetMode="External"/><Relationship Id="rId24" Type="http://schemas.openxmlformats.org/officeDocument/2006/relationships/hyperlink" Target="https://my.zakupki.prom.ua/remote/dispatcher/state_purchase_view/40534478" TargetMode="External"/><Relationship Id="rId66" Type="http://schemas.openxmlformats.org/officeDocument/2006/relationships/hyperlink" Target="https://my.zakupki.prom.ua/remote/dispatcher/state_purchase_view/41160875" TargetMode="External"/><Relationship Id="rId131" Type="http://schemas.openxmlformats.org/officeDocument/2006/relationships/hyperlink" Target="https://my.zakupki.prom.ua/remote/dispatcher/state_purchase_view/42284689" TargetMode="External"/><Relationship Id="rId327" Type="http://schemas.openxmlformats.org/officeDocument/2006/relationships/hyperlink" Target="https://my.zakupki.prom.ua/remote/dispatcher/state_purchase_view/44915931" TargetMode="External"/><Relationship Id="rId369" Type="http://schemas.openxmlformats.org/officeDocument/2006/relationships/hyperlink" Target="https://my.zakupivli.pro/remote/dispatcher/state_purchase_view/46322494" TargetMode="External"/><Relationship Id="rId173" Type="http://schemas.openxmlformats.org/officeDocument/2006/relationships/hyperlink" Target="https://my.zakupki.prom.ua/remote/dispatcher/state_purchase_view/40008355" TargetMode="External"/><Relationship Id="rId229" Type="http://schemas.openxmlformats.org/officeDocument/2006/relationships/hyperlink" Target="https://my.zakupki.prom.ua/remote/dispatcher/state_purchase_view/44049907" TargetMode="External"/><Relationship Id="rId380" Type="http://schemas.openxmlformats.org/officeDocument/2006/relationships/hyperlink" Target="https://my.zakupivli.pro/remote/dispatcher/state_purchase_view/45990285" TargetMode="External"/><Relationship Id="rId240" Type="http://schemas.openxmlformats.org/officeDocument/2006/relationships/hyperlink" Target="https://my.zakupki.prom.ua/remote/dispatcher/state_purchase_view/43869133" TargetMode="External"/><Relationship Id="rId35" Type="http://schemas.openxmlformats.org/officeDocument/2006/relationships/hyperlink" Target="https://my.zakupki.prom.ua/remote/dispatcher/state_purchase_view/40317544" TargetMode="External"/><Relationship Id="rId77" Type="http://schemas.openxmlformats.org/officeDocument/2006/relationships/hyperlink" Target="https://my.zakupki.prom.ua/remote/dispatcher/state_purchase_view/41469897" TargetMode="External"/><Relationship Id="rId100" Type="http://schemas.openxmlformats.org/officeDocument/2006/relationships/hyperlink" Target="https://my.zakupki.prom.ua/remote/dispatcher/state_purchase_view/41750000" TargetMode="External"/><Relationship Id="rId282" Type="http://schemas.openxmlformats.org/officeDocument/2006/relationships/hyperlink" Target="https://my.zakupki.prom.ua/remote/dispatcher/state_purchase_view/44331428" TargetMode="External"/><Relationship Id="rId338" Type="http://schemas.openxmlformats.org/officeDocument/2006/relationships/hyperlink" Target="https://my.zakupivli.pro/remote/dispatcher/state_purchase_view/46983697" TargetMode="External"/><Relationship Id="rId8" Type="http://schemas.openxmlformats.org/officeDocument/2006/relationships/hyperlink" Target="https://my.zakupki.prom.ua/remote/dispatcher/state_purchase_view/40640185" TargetMode="External"/><Relationship Id="rId142" Type="http://schemas.openxmlformats.org/officeDocument/2006/relationships/hyperlink" Target="https://my.zakupki.prom.ua/remote/dispatcher/state_purchase_view/41813683" TargetMode="External"/><Relationship Id="rId184" Type="http://schemas.openxmlformats.org/officeDocument/2006/relationships/hyperlink" Target="https://my.zakupki.prom.ua/remote/dispatcher/state_purchase_view/41733109" TargetMode="External"/><Relationship Id="rId391" Type="http://schemas.openxmlformats.org/officeDocument/2006/relationships/hyperlink" Target="https://my.zakupivli.pro/remote/dispatcher/state_purchase_view/48098544" TargetMode="External"/><Relationship Id="rId405" Type="http://schemas.openxmlformats.org/officeDocument/2006/relationships/hyperlink" Target="https://my.zakupivli.pro/remote/dispatcher/state_purchase_view/47685731" TargetMode="External"/><Relationship Id="rId251" Type="http://schemas.openxmlformats.org/officeDocument/2006/relationships/hyperlink" Target="https://my.zakupki.prom.ua/remote/dispatcher/state_purchase_view/44910077" TargetMode="External"/><Relationship Id="rId46" Type="http://schemas.openxmlformats.org/officeDocument/2006/relationships/hyperlink" Target="https://my.zakupki.prom.ua/remote/dispatcher/state_purchase_view/40188274" TargetMode="External"/><Relationship Id="rId293" Type="http://schemas.openxmlformats.org/officeDocument/2006/relationships/hyperlink" Target="https://my.zakupki.prom.ua/remote/dispatcher/state_purchase_view/45646627" TargetMode="External"/><Relationship Id="rId307" Type="http://schemas.openxmlformats.org/officeDocument/2006/relationships/hyperlink" Target="https://my.zakupki.prom.ua/remote/dispatcher/state_purchase_view/45249932" TargetMode="External"/><Relationship Id="rId349" Type="http://schemas.openxmlformats.org/officeDocument/2006/relationships/hyperlink" Target="https://my.zakupivli.pro/remote/dispatcher/state_purchase_view/46729854" TargetMode="External"/><Relationship Id="rId88" Type="http://schemas.openxmlformats.org/officeDocument/2006/relationships/hyperlink" Target="https://my.zakupki.prom.ua/remote/dispatcher/state_purchase_view/41311020" TargetMode="External"/><Relationship Id="rId111" Type="http://schemas.openxmlformats.org/officeDocument/2006/relationships/hyperlink" Target="https://my.zakupki.prom.ua/remote/dispatcher/state_purchase_view/41733084" TargetMode="External"/><Relationship Id="rId153" Type="http://schemas.openxmlformats.org/officeDocument/2006/relationships/hyperlink" Target="https://my.zakupki.prom.ua/remote/dispatcher/state_purchase_view/41884366" TargetMode="External"/><Relationship Id="rId195" Type="http://schemas.openxmlformats.org/officeDocument/2006/relationships/hyperlink" Target="https://my.zakupki.prom.ua/remote/dispatcher/state_purchase_view/41733070" TargetMode="External"/><Relationship Id="rId209" Type="http://schemas.openxmlformats.org/officeDocument/2006/relationships/hyperlink" Target="https://my.zakupki.prom.ua/remote/dispatcher/state_purchase_view/43692305" TargetMode="External"/><Relationship Id="rId360" Type="http://schemas.openxmlformats.org/officeDocument/2006/relationships/hyperlink" Target="https://my.zakupivli.pro/remote/dispatcher/state_purchase_view/46468702" TargetMode="External"/><Relationship Id="rId416" Type="http://schemas.openxmlformats.org/officeDocument/2006/relationships/hyperlink" Target="https://my.zakupivli.pro/remote/dispatcher/state_purchase_view/47313162" TargetMode="External"/><Relationship Id="rId220" Type="http://schemas.openxmlformats.org/officeDocument/2006/relationships/hyperlink" Target="https://my.zakupki.prom.ua/remote/dispatcher/state_purchase_view/44158768" TargetMode="External"/><Relationship Id="rId15" Type="http://schemas.openxmlformats.org/officeDocument/2006/relationships/hyperlink" Target="https://my.zakupki.prom.ua/remote/dispatcher/state_purchase_view/40586835" TargetMode="External"/><Relationship Id="rId57" Type="http://schemas.openxmlformats.org/officeDocument/2006/relationships/hyperlink" Target="https://my.zakupki.prom.ua/remote/dispatcher/state_purchase_view/41187513" TargetMode="External"/><Relationship Id="rId262" Type="http://schemas.openxmlformats.org/officeDocument/2006/relationships/hyperlink" Target="https://my.zakupki.prom.ua/remote/dispatcher/state_purchase_view/44846737" TargetMode="External"/><Relationship Id="rId318" Type="http://schemas.openxmlformats.org/officeDocument/2006/relationships/hyperlink" Target="https://my.zakupki.prom.ua/remote/dispatcher/state_purchase_view/45067340" TargetMode="External"/><Relationship Id="rId99" Type="http://schemas.openxmlformats.org/officeDocument/2006/relationships/hyperlink" Target="https://my.zakupki.prom.ua/remote/dispatcher/state_purchase_view/41750108" TargetMode="External"/><Relationship Id="rId122" Type="http://schemas.openxmlformats.org/officeDocument/2006/relationships/hyperlink" Target="https://my.zakupki.prom.ua/remote/dispatcher/state_purchase_view/41632525" TargetMode="External"/><Relationship Id="rId164" Type="http://schemas.openxmlformats.org/officeDocument/2006/relationships/hyperlink" Target="https://my.zakupki.prom.ua/remote/dispatcher/state_purchase_view/42060198" TargetMode="External"/><Relationship Id="rId371" Type="http://schemas.openxmlformats.org/officeDocument/2006/relationships/hyperlink" Target="https://my.zakupivli.pro/remote/dispatcher/state_purchase_view/46297718" TargetMode="External"/><Relationship Id="rId26" Type="http://schemas.openxmlformats.org/officeDocument/2006/relationships/hyperlink" Target="https://my.zakupki.prom.ua/remote/dispatcher/state_purchase_view/40451986" TargetMode="External"/><Relationship Id="rId231" Type="http://schemas.openxmlformats.org/officeDocument/2006/relationships/hyperlink" Target="https://my.zakupki.prom.ua/remote/dispatcher/state_purchase_view/44036743" TargetMode="External"/><Relationship Id="rId273" Type="http://schemas.openxmlformats.org/officeDocument/2006/relationships/hyperlink" Target="https://my.zakupki.prom.ua/remote/dispatcher/state_purchase_view/44789063" TargetMode="External"/><Relationship Id="rId329" Type="http://schemas.openxmlformats.org/officeDocument/2006/relationships/hyperlink" Target="https://my.zakupki.prom.ua/remote/dispatcher/state_purchase_view/44933197" TargetMode="External"/><Relationship Id="rId68" Type="http://schemas.openxmlformats.org/officeDocument/2006/relationships/hyperlink" Target="https://my.zakupki.prom.ua/remote/dispatcher/state_purchase_view/41146574" TargetMode="External"/><Relationship Id="rId133" Type="http://schemas.openxmlformats.org/officeDocument/2006/relationships/hyperlink" Target="https://my.zakupki.prom.ua/remote/dispatcher/state_purchase_view/42269938" TargetMode="External"/><Relationship Id="rId175" Type="http://schemas.openxmlformats.org/officeDocument/2006/relationships/hyperlink" Target="https://my.zakupki.prom.ua/remote/dispatcher/state_purchase_view/41733098" TargetMode="External"/><Relationship Id="rId340" Type="http://schemas.openxmlformats.org/officeDocument/2006/relationships/hyperlink" Target="https://my.zakupivli.pro/remote/dispatcher/state_purchase_view/46982802" TargetMode="External"/><Relationship Id="rId200" Type="http://schemas.openxmlformats.org/officeDocument/2006/relationships/hyperlink" Target="https://my.zakupki.prom.ua/remote/dispatcher/state_purchase_view/43497323" TargetMode="External"/><Relationship Id="rId382" Type="http://schemas.openxmlformats.org/officeDocument/2006/relationships/hyperlink" Target="https://my.zakupivli.pro/remote/dispatcher/state_purchase_view/45989773" TargetMode="External"/><Relationship Id="rId242" Type="http://schemas.openxmlformats.org/officeDocument/2006/relationships/hyperlink" Target="https://my.zakupki.prom.ua/remote/dispatcher/state_purchase_view/43835025" TargetMode="External"/><Relationship Id="rId284" Type="http://schemas.openxmlformats.org/officeDocument/2006/relationships/hyperlink" Target="https://my.zakupki.prom.ua/remote/dispatcher/state_purchase_view/44159135" TargetMode="External"/><Relationship Id="rId37" Type="http://schemas.openxmlformats.org/officeDocument/2006/relationships/hyperlink" Target="https://my.zakupki.prom.ua/remote/dispatcher/state_purchase_view/40314625" TargetMode="External"/><Relationship Id="rId79" Type="http://schemas.openxmlformats.org/officeDocument/2006/relationships/hyperlink" Target="https://my.zakupki.prom.ua/remote/dispatcher/state_purchase_view/41399521" TargetMode="External"/><Relationship Id="rId102" Type="http://schemas.openxmlformats.org/officeDocument/2006/relationships/hyperlink" Target="https://my.zakupki.prom.ua/remote/dispatcher/state_purchase_view/41749893" TargetMode="External"/><Relationship Id="rId144" Type="http://schemas.openxmlformats.org/officeDocument/2006/relationships/hyperlink" Target="https://my.zakupki.prom.ua/remote/dispatcher/state_purchase_view/41860318" TargetMode="External"/><Relationship Id="rId90" Type="http://schemas.openxmlformats.org/officeDocument/2006/relationships/hyperlink" Target="https://my.zakupki.prom.ua/remote/dispatcher/state_purchase_view/41769462" TargetMode="External"/><Relationship Id="rId186" Type="http://schemas.openxmlformats.org/officeDocument/2006/relationships/hyperlink" Target="https://my.zakupki.prom.ua/remote/dispatcher/state_purchase_view/41233553" TargetMode="External"/><Relationship Id="rId351" Type="http://schemas.openxmlformats.org/officeDocument/2006/relationships/hyperlink" Target="https://my.zakupivli.pro/remote/dispatcher/state_purchase_view/46707112" TargetMode="External"/><Relationship Id="rId393" Type="http://schemas.openxmlformats.org/officeDocument/2006/relationships/hyperlink" Target="https://my.zakupivli.pro/remote/dispatcher/state_purchase_view/48089397" TargetMode="External"/><Relationship Id="rId407" Type="http://schemas.openxmlformats.org/officeDocument/2006/relationships/hyperlink" Target="https://my.zakupivli.pro/remote/dispatcher/state_purchase_view/47650526" TargetMode="External"/><Relationship Id="rId211" Type="http://schemas.openxmlformats.org/officeDocument/2006/relationships/hyperlink" Target="https://my.zakupki.prom.ua/remote/dispatcher/state_purchase_view/43691588" TargetMode="External"/><Relationship Id="rId253" Type="http://schemas.openxmlformats.org/officeDocument/2006/relationships/hyperlink" Target="https://my.zakupki.prom.ua/remote/dispatcher/state_purchase_view/44891497" TargetMode="External"/><Relationship Id="rId295" Type="http://schemas.openxmlformats.org/officeDocument/2006/relationships/hyperlink" Target="https://my.zakupki.prom.ua/remote/dispatcher/state_purchase_view/45587103" TargetMode="External"/><Relationship Id="rId309" Type="http://schemas.openxmlformats.org/officeDocument/2006/relationships/hyperlink" Target="https://my.zakupki.prom.ua/remote/dispatcher/state_purchase_view/45212847" TargetMode="External"/><Relationship Id="rId48" Type="http://schemas.openxmlformats.org/officeDocument/2006/relationships/hyperlink" Target="https://my.zakupki.prom.ua/remote/dispatcher/state_purchase_view/40088812" TargetMode="External"/><Relationship Id="rId113" Type="http://schemas.openxmlformats.org/officeDocument/2006/relationships/hyperlink" Target="https://my.zakupki.prom.ua/remote/dispatcher/state_purchase_view/41733070" TargetMode="External"/><Relationship Id="rId320" Type="http://schemas.openxmlformats.org/officeDocument/2006/relationships/hyperlink" Target="https://my.zakupki.prom.ua/remote/dispatcher/state_purchase_view/44896973" TargetMode="External"/><Relationship Id="rId155" Type="http://schemas.openxmlformats.org/officeDocument/2006/relationships/hyperlink" Target="https://my.zakupki.prom.ua/remote/dispatcher/state_purchase_view/41884595" TargetMode="External"/><Relationship Id="rId197" Type="http://schemas.openxmlformats.org/officeDocument/2006/relationships/hyperlink" Target="https://my.zakupki.prom.ua/remote/dispatcher/state_purchase_view/43498928" TargetMode="External"/><Relationship Id="rId362" Type="http://schemas.openxmlformats.org/officeDocument/2006/relationships/hyperlink" Target="https://my.zakupivli.pro/remote/dispatcher/state_purchase_view/46430498" TargetMode="External"/><Relationship Id="rId418" Type="http://schemas.openxmlformats.org/officeDocument/2006/relationships/hyperlink" Target="https://my.zakupivli.pro/remote/dispatcher/state_purchase_view/47304493" TargetMode="External"/><Relationship Id="rId222" Type="http://schemas.openxmlformats.org/officeDocument/2006/relationships/hyperlink" Target="https://my.zakupki.prom.ua/remote/dispatcher/state_purchase_view/44135967" TargetMode="External"/><Relationship Id="rId264" Type="http://schemas.openxmlformats.org/officeDocument/2006/relationships/hyperlink" Target="https://my.zakupki.prom.ua/remote/dispatcher/state_purchase_view/44845935" TargetMode="External"/><Relationship Id="rId17" Type="http://schemas.openxmlformats.org/officeDocument/2006/relationships/hyperlink" Target="https://my.zakupki.prom.ua/remote/dispatcher/state_purchase_view/40574786" TargetMode="External"/><Relationship Id="rId59" Type="http://schemas.openxmlformats.org/officeDocument/2006/relationships/hyperlink" Target="https://my.zakupki.prom.ua/remote/dispatcher/state_purchase_view/41182040" TargetMode="External"/><Relationship Id="rId124" Type="http://schemas.openxmlformats.org/officeDocument/2006/relationships/hyperlink" Target="https://my.zakupki.prom.ua/remote/dispatcher/state_purchase_view/4163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47817"/>
  <sheetViews>
    <sheetView tabSelected="1" zoomScale="80" zoomScaleNormal="80" workbookViewId="0">
      <pane ySplit="1" topLeftCell="A473" activePane="bottomLeft" state="frozen"/>
      <selection pane="bottomLeft" activeCell="F580" sqref="F580:J580"/>
    </sheetView>
  </sheetViews>
  <sheetFormatPr defaultRowHeight="15" x14ac:dyDescent="0.25"/>
  <cols>
    <col min="1" max="1" width="26.7109375" customWidth="1"/>
    <col min="2" max="2" width="22.7109375" customWidth="1"/>
    <col min="3" max="3" width="33.28515625" customWidth="1"/>
    <col min="4" max="4" width="20.7109375" customWidth="1"/>
    <col min="5" max="5" width="18.28515625" customWidth="1"/>
    <col min="6" max="6" width="13.28515625" customWidth="1"/>
    <col min="7" max="7" width="15.5703125" customWidth="1"/>
    <col min="8" max="8" width="18" customWidth="1"/>
    <col min="9" max="9" width="17.85546875" customWidth="1"/>
    <col min="10" max="10" width="18" customWidth="1"/>
    <col min="11" max="11" width="23.5703125" customWidth="1"/>
    <col min="12" max="12" width="32.85546875" customWidth="1"/>
    <col min="13" max="13" width="16.140625" customWidth="1"/>
    <col min="14" max="14" width="15.42578125" customWidth="1"/>
    <col min="17" max="17" width="41.85546875" customWidth="1"/>
  </cols>
  <sheetData>
    <row r="1" spans="1:17" ht="42.75" x14ac:dyDescent="0.25">
      <c r="A1" s="7" t="s">
        <v>49</v>
      </c>
      <c r="B1" s="7" t="s">
        <v>0</v>
      </c>
      <c r="C1" s="7" t="s">
        <v>1</v>
      </c>
      <c r="D1" s="8" t="s">
        <v>2</v>
      </c>
      <c r="E1" s="8" t="s">
        <v>3</v>
      </c>
      <c r="F1" s="11" t="s">
        <v>4</v>
      </c>
      <c r="G1" s="11" t="s">
        <v>24</v>
      </c>
      <c r="H1" s="9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P1" s="3"/>
    </row>
    <row r="2" spans="1:17" ht="105" x14ac:dyDescent="0.25">
      <c r="A2" s="17" t="s">
        <v>220</v>
      </c>
      <c r="B2" s="17" t="s">
        <v>21</v>
      </c>
      <c r="C2" s="17" t="s">
        <v>29</v>
      </c>
      <c r="D2" s="17" t="s">
        <v>221</v>
      </c>
      <c r="E2" s="26">
        <v>44928</v>
      </c>
      <c r="F2" s="25">
        <v>1</v>
      </c>
      <c r="G2" s="25">
        <v>110150</v>
      </c>
      <c r="H2" s="17" t="s">
        <v>50</v>
      </c>
      <c r="I2" s="17" t="s">
        <v>51</v>
      </c>
      <c r="J2" s="17" t="s">
        <v>64</v>
      </c>
      <c r="K2" s="17" t="s">
        <v>175</v>
      </c>
      <c r="L2" s="17" t="s">
        <v>218</v>
      </c>
      <c r="M2" s="18">
        <v>379260</v>
      </c>
      <c r="N2" s="49"/>
      <c r="O2" s="1"/>
      <c r="Q2" s="5"/>
    </row>
    <row r="3" spans="1:17" s="4" customFormat="1" ht="60" x14ac:dyDescent="0.25">
      <c r="A3" s="17" t="str">
        <f>HYPERLINK("https://my.zakupki.prom.ua/remote/dispatcher/state_purchase_view/40059499", "UA-2023-01-16-000886-a")</f>
        <v>UA-2023-01-16-000886-a</v>
      </c>
      <c r="B3" s="17" t="s">
        <v>16</v>
      </c>
      <c r="C3" s="17" t="s">
        <v>141</v>
      </c>
      <c r="D3" s="18" t="s">
        <v>222</v>
      </c>
      <c r="E3" s="22">
        <v>44939</v>
      </c>
      <c r="F3" s="25">
        <v>2</v>
      </c>
      <c r="G3" s="25">
        <v>110150</v>
      </c>
      <c r="H3" s="17" t="s">
        <v>50</v>
      </c>
      <c r="I3" s="17" t="s">
        <v>51</v>
      </c>
      <c r="J3" s="17" t="s">
        <v>156</v>
      </c>
      <c r="K3" s="17" t="s">
        <v>173</v>
      </c>
      <c r="L3" s="17" t="s">
        <v>217</v>
      </c>
      <c r="M3" s="18">
        <v>20500</v>
      </c>
      <c r="N3" s="49"/>
      <c r="O3" s="1"/>
      <c r="Q3" s="5"/>
    </row>
    <row r="4" spans="1:17" s="4" customFormat="1" ht="60" x14ac:dyDescent="0.25">
      <c r="A4" s="17" t="str">
        <f>HYPERLINK("https://my.zakupki.prom.ua/remote/dispatcher/state_purchase_view/40058690", "UA-2023-01-16-000527-a")</f>
        <v>UA-2023-01-16-000527-a</v>
      </c>
      <c r="B4" s="17" t="s">
        <v>16</v>
      </c>
      <c r="C4" s="17" t="s">
        <v>142</v>
      </c>
      <c r="D4" s="18" t="s">
        <v>222</v>
      </c>
      <c r="E4" s="22">
        <v>44939</v>
      </c>
      <c r="F4" s="25">
        <v>3</v>
      </c>
      <c r="G4" s="25">
        <v>110150</v>
      </c>
      <c r="H4" s="17" t="s">
        <v>50</v>
      </c>
      <c r="I4" s="17" t="s">
        <v>51</v>
      </c>
      <c r="J4" s="17" t="s">
        <v>157</v>
      </c>
      <c r="K4" s="17" t="s">
        <v>174</v>
      </c>
      <c r="L4" s="17" t="s">
        <v>212</v>
      </c>
      <c r="M4" s="18">
        <v>45600</v>
      </c>
      <c r="N4" s="51"/>
      <c r="O4" s="1"/>
      <c r="Q4" s="5"/>
    </row>
    <row r="5" spans="1:17" s="4" customFormat="1" ht="120" x14ac:dyDescent="0.25">
      <c r="A5" s="17" t="str">
        <f>HYPERLINK("https://my.zakupki.prom.ua/remote/dispatcher/state_purchase_view/40094150", "UA-2023-01-17-002036-a")</f>
        <v>UA-2023-01-17-002036-a</v>
      </c>
      <c r="B5" s="17" t="s">
        <v>102</v>
      </c>
      <c r="C5" s="17" t="s">
        <v>140</v>
      </c>
      <c r="D5" s="18" t="s">
        <v>222</v>
      </c>
      <c r="E5" s="22">
        <v>44939</v>
      </c>
      <c r="F5" s="25">
        <v>4</v>
      </c>
      <c r="G5" s="25">
        <v>110150</v>
      </c>
      <c r="H5" s="17" t="s">
        <v>50</v>
      </c>
      <c r="I5" s="17" t="s">
        <v>51</v>
      </c>
      <c r="J5" s="17" t="s">
        <v>154</v>
      </c>
      <c r="K5" s="17" t="s">
        <v>171</v>
      </c>
      <c r="L5" s="17" t="s">
        <v>214</v>
      </c>
      <c r="M5" s="18">
        <v>14540</v>
      </c>
      <c r="N5" s="53"/>
      <c r="O5" s="52"/>
      <c r="Q5" s="5"/>
    </row>
    <row r="6" spans="1:17" s="4" customFormat="1" ht="135" x14ac:dyDescent="0.25">
      <c r="A6" s="17" t="str">
        <f>HYPERLINK("https://my.zakupki.prom.ua/remote/dispatcher/state_purchase_view/40188274", "UA-2023-01-19-013663-a")</f>
        <v>UA-2023-01-19-013663-a</v>
      </c>
      <c r="B6" s="17" t="s">
        <v>48</v>
      </c>
      <c r="C6" s="17" t="s">
        <v>47</v>
      </c>
      <c r="D6" s="18" t="s">
        <v>222</v>
      </c>
      <c r="E6" s="22">
        <v>44945</v>
      </c>
      <c r="F6" s="25">
        <v>5</v>
      </c>
      <c r="G6" s="25">
        <v>110150</v>
      </c>
      <c r="H6" s="17" t="s">
        <v>50</v>
      </c>
      <c r="I6" s="17" t="s">
        <v>51</v>
      </c>
      <c r="J6" s="17" t="s">
        <v>153</v>
      </c>
      <c r="K6" s="17" t="s">
        <v>170</v>
      </c>
      <c r="L6" s="17" t="s">
        <v>213</v>
      </c>
      <c r="M6" s="18">
        <v>208728</v>
      </c>
      <c r="N6" s="53"/>
      <c r="O6" s="52"/>
      <c r="Q6" s="5"/>
    </row>
    <row r="7" spans="1:17" s="4" customFormat="1" ht="60" x14ac:dyDescent="0.25">
      <c r="A7" s="17" t="str">
        <f>HYPERLINK("https://my.zakupki.prom.ua/remote/dispatcher/state_purchase_view/40202996", "UA-2023-01-20-003876-a")</f>
        <v>UA-2023-01-20-003876-a</v>
      </c>
      <c r="B7" s="17" t="s">
        <v>16</v>
      </c>
      <c r="C7" s="17" t="s">
        <v>139</v>
      </c>
      <c r="D7" s="18" t="s">
        <v>222</v>
      </c>
      <c r="E7" s="22">
        <v>44945</v>
      </c>
      <c r="F7" s="25">
        <v>6</v>
      </c>
      <c r="G7" s="25">
        <v>110150</v>
      </c>
      <c r="H7" s="17" t="s">
        <v>50</v>
      </c>
      <c r="I7" s="17" t="s">
        <v>51</v>
      </c>
      <c r="J7" s="17" t="s">
        <v>152</v>
      </c>
      <c r="K7" s="17" t="s">
        <v>169</v>
      </c>
      <c r="L7" s="17" t="s">
        <v>212</v>
      </c>
      <c r="M7" s="18">
        <v>12000</v>
      </c>
      <c r="N7" s="50"/>
      <c r="O7" s="1"/>
      <c r="Q7" s="5"/>
    </row>
    <row r="8" spans="1:17" s="4" customFormat="1" ht="135" x14ac:dyDescent="0.25">
      <c r="A8" s="17" t="str">
        <f>HYPERLINK("https://my.zakupki.prom.ua/remote/dispatcher/state_purchase_view/40265498", "UA-2023-01-23-014698-a")</f>
        <v>UA-2023-01-23-014698-a</v>
      </c>
      <c r="B8" s="17" t="s">
        <v>37</v>
      </c>
      <c r="C8" s="17" t="s">
        <v>133</v>
      </c>
      <c r="D8" s="18" t="s">
        <v>223</v>
      </c>
      <c r="E8" s="22">
        <v>44946</v>
      </c>
      <c r="F8" s="25">
        <v>7</v>
      </c>
      <c r="G8" s="25">
        <v>110150</v>
      </c>
      <c r="H8" s="17" t="s">
        <v>50</v>
      </c>
      <c r="I8" s="17" t="s">
        <v>51</v>
      </c>
      <c r="J8" s="17" t="s">
        <v>67</v>
      </c>
      <c r="K8" s="17" t="s">
        <v>68</v>
      </c>
      <c r="L8" s="17" t="s">
        <v>206</v>
      </c>
      <c r="M8" s="18">
        <v>6095</v>
      </c>
      <c r="N8" s="1"/>
      <c r="O8" s="1"/>
      <c r="Q8" s="5"/>
    </row>
    <row r="9" spans="1:17" s="4" customFormat="1" ht="75" x14ac:dyDescent="0.25">
      <c r="A9" s="17" t="str">
        <f>HYPERLINK("https://my.zakupki.prom.ua/remote/dispatcher/state_purchase_view/40265218", "UA-2023-01-23-014565-a")</f>
        <v>UA-2023-01-23-014565-a</v>
      </c>
      <c r="B9" s="17" t="s">
        <v>34</v>
      </c>
      <c r="C9" s="17" t="s">
        <v>134</v>
      </c>
      <c r="D9" s="18" t="s">
        <v>223</v>
      </c>
      <c r="E9" s="22">
        <v>44946</v>
      </c>
      <c r="F9" s="25">
        <v>8</v>
      </c>
      <c r="G9" s="25">
        <v>110150</v>
      </c>
      <c r="H9" s="17" t="s">
        <v>50</v>
      </c>
      <c r="I9" s="17" t="s">
        <v>51</v>
      </c>
      <c r="J9" s="17" t="s">
        <v>67</v>
      </c>
      <c r="K9" s="17" t="s">
        <v>68</v>
      </c>
      <c r="L9" s="17" t="s">
        <v>207</v>
      </c>
      <c r="M9" s="18">
        <v>1700</v>
      </c>
      <c r="N9" s="1"/>
      <c r="O9" s="1"/>
      <c r="Q9" s="5"/>
    </row>
    <row r="10" spans="1:17" s="4" customFormat="1" ht="75" x14ac:dyDescent="0.25">
      <c r="A10" s="17" t="str">
        <f>HYPERLINK("https://my.zakupki.prom.ua/remote/dispatcher/state_purchase_view/40264915", "UA-2023-01-23-014416-a")</f>
        <v>UA-2023-01-23-014416-a</v>
      </c>
      <c r="B10" s="17" t="s">
        <v>32</v>
      </c>
      <c r="C10" s="17" t="s">
        <v>135</v>
      </c>
      <c r="D10" s="18" t="s">
        <v>223</v>
      </c>
      <c r="E10" s="22">
        <v>44946</v>
      </c>
      <c r="F10" s="25">
        <v>9</v>
      </c>
      <c r="G10" s="25">
        <v>110150</v>
      </c>
      <c r="H10" s="17" t="s">
        <v>50</v>
      </c>
      <c r="I10" s="17" t="s">
        <v>51</v>
      </c>
      <c r="J10" s="17" t="s">
        <v>67</v>
      </c>
      <c r="K10" s="17" t="s">
        <v>68</v>
      </c>
      <c r="L10" s="17" t="s">
        <v>208</v>
      </c>
      <c r="M10" s="18">
        <v>1375</v>
      </c>
      <c r="N10" s="1"/>
      <c r="O10" s="1"/>
      <c r="Q10" s="5"/>
    </row>
    <row r="11" spans="1:17" s="4" customFormat="1" ht="60" x14ac:dyDescent="0.25">
      <c r="A11" s="17" t="str">
        <f>HYPERLINK("https://my.zakupki.prom.ua/remote/dispatcher/state_purchase_view/40264530", "UA-2023-01-23-014298-a")</f>
        <v>UA-2023-01-23-014298-a</v>
      </c>
      <c r="B11" s="17" t="s">
        <v>20</v>
      </c>
      <c r="C11" s="17" t="s">
        <v>136</v>
      </c>
      <c r="D11" s="18" t="s">
        <v>223</v>
      </c>
      <c r="E11" s="22">
        <v>44946</v>
      </c>
      <c r="F11" s="25">
        <v>10</v>
      </c>
      <c r="G11" s="25">
        <v>110150</v>
      </c>
      <c r="H11" s="17" t="s">
        <v>50</v>
      </c>
      <c r="I11" s="17" t="s">
        <v>51</v>
      </c>
      <c r="J11" s="17" t="s">
        <v>67</v>
      </c>
      <c r="K11" s="17" t="s">
        <v>68</v>
      </c>
      <c r="L11" s="17" t="s">
        <v>209</v>
      </c>
      <c r="M11" s="18">
        <v>300</v>
      </c>
      <c r="N11" s="1"/>
      <c r="O11" s="1"/>
      <c r="Q11" s="5"/>
    </row>
    <row r="12" spans="1:17" s="4" customFormat="1" ht="90" x14ac:dyDescent="0.25">
      <c r="A12" s="17" t="str">
        <f>HYPERLINK("https://my.zakupki.prom.ua/remote/dispatcher/state_purchase_view/40263777", "UA-2023-01-23-013886-a")</f>
        <v>UA-2023-01-23-013886-a</v>
      </c>
      <c r="B12" s="17" t="s">
        <v>33</v>
      </c>
      <c r="C12" s="17" t="s">
        <v>137</v>
      </c>
      <c r="D12" s="18" t="s">
        <v>223</v>
      </c>
      <c r="E12" s="22">
        <v>44946</v>
      </c>
      <c r="F12" s="25">
        <v>11</v>
      </c>
      <c r="G12" s="25">
        <v>110150</v>
      </c>
      <c r="H12" s="17" t="s">
        <v>50</v>
      </c>
      <c r="I12" s="17" t="s">
        <v>51</v>
      </c>
      <c r="J12" s="17" t="s">
        <v>67</v>
      </c>
      <c r="K12" s="17" t="s">
        <v>68</v>
      </c>
      <c r="L12" s="17" t="s">
        <v>210</v>
      </c>
      <c r="M12" s="18">
        <v>1380</v>
      </c>
      <c r="N12" s="1"/>
      <c r="O12" s="1"/>
      <c r="Q12" s="5"/>
    </row>
    <row r="13" spans="1:17" s="4" customFormat="1" ht="90" x14ac:dyDescent="0.25">
      <c r="A13" s="17" t="str">
        <f>HYPERLINK("https://my.zakupki.prom.ua/remote/dispatcher/state_purchase_view/40263110", "UA-2023-01-23-013517-a")</f>
        <v>UA-2023-01-23-013517-a</v>
      </c>
      <c r="B13" s="17" t="s">
        <v>23</v>
      </c>
      <c r="C13" s="17" t="s">
        <v>138</v>
      </c>
      <c r="D13" s="18" t="s">
        <v>224</v>
      </c>
      <c r="E13" s="22">
        <v>44946</v>
      </c>
      <c r="F13" s="27">
        <v>12</v>
      </c>
      <c r="G13" s="25">
        <v>110150</v>
      </c>
      <c r="H13" s="17" t="s">
        <v>50</v>
      </c>
      <c r="I13" s="17" t="s">
        <v>51</v>
      </c>
      <c r="J13" s="17" t="s">
        <v>26</v>
      </c>
      <c r="K13" s="17" t="s">
        <v>168</v>
      </c>
      <c r="L13" s="17" t="s">
        <v>211</v>
      </c>
      <c r="M13" s="18">
        <v>700.85</v>
      </c>
      <c r="N13" s="1"/>
      <c r="O13" s="1"/>
      <c r="Q13" s="5"/>
    </row>
    <row r="14" spans="1:17" s="4" customFormat="1" ht="300" x14ac:dyDescent="0.25">
      <c r="A14" s="17" t="str">
        <f>HYPERLINK("https://my.zakupki.prom.ua/remote/dispatcher/state_purchase_view/40313631", "UA-2023-01-25-001342-a")</f>
        <v>UA-2023-01-25-001342-a</v>
      </c>
      <c r="B14" s="17" t="s">
        <v>13</v>
      </c>
      <c r="C14" s="17" t="s">
        <v>132</v>
      </c>
      <c r="D14" s="18" t="s">
        <v>225</v>
      </c>
      <c r="E14" s="22">
        <v>44950</v>
      </c>
      <c r="F14" s="25">
        <v>13</v>
      </c>
      <c r="G14" s="25">
        <v>110150</v>
      </c>
      <c r="H14" s="17" t="s">
        <v>50</v>
      </c>
      <c r="I14" s="17" t="s">
        <v>51</v>
      </c>
      <c r="J14" s="17" t="s">
        <v>151</v>
      </c>
      <c r="K14" s="17" t="s">
        <v>167</v>
      </c>
      <c r="L14" s="17" t="s">
        <v>205</v>
      </c>
      <c r="M14" s="18">
        <v>59999.040000000001</v>
      </c>
      <c r="N14" s="1"/>
      <c r="O14" s="1"/>
      <c r="Q14" s="5"/>
    </row>
    <row r="15" spans="1:17" s="4" customFormat="1" ht="409.5" x14ac:dyDescent="0.25">
      <c r="A15" s="17" t="str">
        <f>HYPERLINK("https://my.zakupki.prom.ua/remote/dispatcher/state_purchase_view/40314625", "UA-2023-01-25-001816-a")</f>
        <v>UA-2023-01-25-001816-a</v>
      </c>
      <c r="B15" s="17" t="s">
        <v>13</v>
      </c>
      <c r="C15" s="17" t="s">
        <v>131</v>
      </c>
      <c r="D15" s="18" t="s">
        <v>225</v>
      </c>
      <c r="E15" s="22">
        <v>44950</v>
      </c>
      <c r="F15" s="25">
        <v>14</v>
      </c>
      <c r="G15" s="25">
        <v>110150</v>
      </c>
      <c r="H15" s="17" t="s">
        <v>50</v>
      </c>
      <c r="I15" s="17" t="s">
        <v>51</v>
      </c>
      <c r="J15" s="17" t="s">
        <v>151</v>
      </c>
      <c r="K15" s="17" t="s">
        <v>167</v>
      </c>
      <c r="L15" s="17" t="s">
        <v>204</v>
      </c>
      <c r="M15" s="18">
        <v>57600</v>
      </c>
      <c r="N15" s="1"/>
      <c r="O15" s="1"/>
      <c r="Q15" s="5"/>
    </row>
    <row r="16" spans="1:17" s="4" customFormat="1" ht="90" x14ac:dyDescent="0.25">
      <c r="A16" s="17" t="str">
        <f>HYPERLINK("https://my.zakupki.prom.ua/remote/dispatcher/state_purchase_view/40317084", "UA-2023-01-25-003038-a")</f>
        <v>UA-2023-01-25-003038-a</v>
      </c>
      <c r="B16" s="17" t="s">
        <v>52</v>
      </c>
      <c r="C16" s="17" t="s">
        <v>130</v>
      </c>
      <c r="D16" s="18" t="s">
        <v>223</v>
      </c>
      <c r="E16" s="22">
        <v>44951</v>
      </c>
      <c r="F16" s="27">
        <v>15</v>
      </c>
      <c r="G16" s="25">
        <v>117693</v>
      </c>
      <c r="H16" s="17" t="s">
        <v>50</v>
      </c>
      <c r="I16" s="17" t="s">
        <v>51</v>
      </c>
      <c r="J16" s="17" t="s">
        <v>73</v>
      </c>
      <c r="K16" s="17" t="s">
        <v>74</v>
      </c>
      <c r="L16" s="17" t="s">
        <v>53</v>
      </c>
      <c r="M16" s="18">
        <v>579</v>
      </c>
      <c r="N16" s="1"/>
      <c r="O16" s="1"/>
      <c r="Q16" s="5"/>
    </row>
    <row r="17" spans="1:17" s="4" customFormat="1" ht="75" x14ac:dyDescent="0.25">
      <c r="A17" s="17" t="str">
        <f>HYPERLINK("https://my.zakupki.prom.ua/remote/dispatcher/state_purchase_view/40317544", "UA-2023-01-25-003263-a")</f>
        <v>UA-2023-01-25-003263-a</v>
      </c>
      <c r="B17" s="17" t="s">
        <v>11</v>
      </c>
      <c r="C17" s="17" t="s">
        <v>128</v>
      </c>
      <c r="D17" s="18" t="s">
        <v>226</v>
      </c>
      <c r="E17" s="22">
        <v>44951</v>
      </c>
      <c r="F17" s="25">
        <v>16</v>
      </c>
      <c r="G17" s="25">
        <v>110150</v>
      </c>
      <c r="H17" s="17" t="s">
        <v>50</v>
      </c>
      <c r="I17" s="17" t="s">
        <v>51</v>
      </c>
      <c r="J17" s="17" t="s">
        <v>150</v>
      </c>
      <c r="K17" s="17" t="s">
        <v>166</v>
      </c>
      <c r="L17" s="17" t="s">
        <v>203</v>
      </c>
      <c r="M17" s="18">
        <v>6166.32</v>
      </c>
      <c r="N17" s="1"/>
      <c r="O17" s="1"/>
      <c r="Q17" s="5"/>
    </row>
    <row r="18" spans="1:17" s="4" customFormat="1" ht="75" x14ac:dyDescent="0.25">
      <c r="A18" s="17" t="str">
        <f>HYPERLINK("https://my.zakupki.prom.ua/remote/dispatcher/state_purchase_view/40317813", "UA-2023-01-25-003398-a")</f>
        <v>UA-2023-01-25-003398-a</v>
      </c>
      <c r="B18" s="17" t="s">
        <v>11</v>
      </c>
      <c r="C18" s="17" t="s">
        <v>128</v>
      </c>
      <c r="D18" s="18" t="s">
        <v>226</v>
      </c>
      <c r="E18" s="22">
        <v>44951</v>
      </c>
      <c r="F18" s="27">
        <v>17</v>
      </c>
      <c r="G18" s="25">
        <v>110150</v>
      </c>
      <c r="H18" s="17" t="s">
        <v>50</v>
      </c>
      <c r="I18" s="17" t="s">
        <v>51</v>
      </c>
      <c r="J18" s="17" t="s">
        <v>150</v>
      </c>
      <c r="K18" s="17" t="s">
        <v>166</v>
      </c>
      <c r="L18" s="17" t="s">
        <v>203</v>
      </c>
      <c r="M18" s="18">
        <v>11384.04</v>
      </c>
      <c r="N18" s="1"/>
      <c r="O18" s="1"/>
      <c r="Q18" s="5"/>
    </row>
    <row r="19" spans="1:17" s="4" customFormat="1" ht="75" x14ac:dyDescent="0.25">
      <c r="A19" s="17" t="str">
        <f>HYPERLINK("https://my.zakupki.prom.ua/remote/dispatcher/state_purchase_view/40319672", "UA-2023-01-25-004251-a")</f>
        <v>UA-2023-01-25-004251-a</v>
      </c>
      <c r="B19" s="17" t="s">
        <v>11</v>
      </c>
      <c r="C19" s="17" t="s">
        <v>128</v>
      </c>
      <c r="D19" s="18" t="s">
        <v>226</v>
      </c>
      <c r="E19" s="22">
        <v>44951</v>
      </c>
      <c r="F19" s="25">
        <v>18</v>
      </c>
      <c r="G19" s="25">
        <v>110150</v>
      </c>
      <c r="H19" s="17" t="s">
        <v>50</v>
      </c>
      <c r="I19" s="17" t="s">
        <v>51</v>
      </c>
      <c r="J19" s="17" t="s">
        <v>149</v>
      </c>
      <c r="K19" s="17" t="s">
        <v>165</v>
      </c>
      <c r="L19" s="17" t="s">
        <v>203</v>
      </c>
      <c r="M19" s="18">
        <v>14500.8</v>
      </c>
      <c r="N19" s="1"/>
      <c r="O19" s="1"/>
      <c r="Q19" s="5"/>
    </row>
    <row r="20" spans="1:17" s="4" customFormat="1" ht="75" x14ac:dyDescent="0.25">
      <c r="A20" s="17" t="str">
        <f>HYPERLINK("https://my.zakupki.prom.ua/remote/dispatcher/state_purchase_view/40364788", "UA-2023-01-26-007582-a")</f>
        <v>UA-2023-01-26-007582-a</v>
      </c>
      <c r="B20" s="17" t="s">
        <v>56</v>
      </c>
      <c r="C20" s="17" t="s">
        <v>129</v>
      </c>
      <c r="D20" s="18" t="s">
        <v>223</v>
      </c>
      <c r="E20" s="22">
        <v>44951</v>
      </c>
      <c r="F20" s="25">
        <v>19</v>
      </c>
      <c r="G20" s="25">
        <v>118240</v>
      </c>
      <c r="H20" s="17" t="s">
        <v>50</v>
      </c>
      <c r="I20" s="17" t="s">
        <v>51</v>
      </c>
      <c r="J20" s="17" t="s">
        <v>83</v>
      </c>
      <c r="K20" s="17" t="s">
        <v>84</v>
      </c>
      <c r="L20" s="17" t="s">
        <v>202</v>
      </c>
      <c r="M20" s="18">
        <v>181000</v>
      </c>
      <c r="N20" s="1"/>
      <c r="O20" s="1"/>
      <c r="Q20" s="5"/>
    </row>
    <row r="21" spans="1:17" s="4" customFormat="1" ht="135" x14ac:dyDescent="0.25">
      <c r="A21" s="17" t="str">
        <f>HYPERLINK("https://my.zakupki.prom.ua/remote/dispatcher/state_purchase_view/40432061", "UA-2023-01-30-003277-a")</f>
        <v>UA-2023-01-30-003277-a</v>
      </c>
      <c r="B21" s="17" t="s">
        <v>25</v>
      </c>
      <c r="C21" s="17" t="s">
        <v>124</v>
      </c>
      <c r="D21" s="18" t="s">
        <v>225</v>
      </c>
      <c r="E21" s="22">
        <v>44952</v>
      </c>
      <c r="F21" s="25">
        <v>20</v>
      </c>
      <c r="G21" s="25">
        <v>110150</v>
      </c>
      <c r="H21" s="17" t="s">
        <v>50</v>
      </c>
      <c r="I21" s="17" t="s">
        <v>51</v>
      </c>
      <c r="J21" s="17" t="s">
        <v>79</v>
      </c>
      <c r="K21" s="17" t="s">
        <v>80</v>
      </c>
      <c r="L21" s="17" t="s">
        <v>197</v>
      </c>
      <c r="M21" s="18">
        <v>10680</v>
      </c>
      <c r="N21" s="1"/>
      <c r="O21" s="1"/>
      <c r="Q21" s="5"/>
    </row>
    <row r="22" spans="1:17" s="4" customFormat="1" ht="135" x14ac:dyDescent="0.25">
      <c r="A22" s="17" t="str">
        <f>HYPERLINK("https://my.zakupki.prom.ua/remote/dispatcher/state_purchase_view/40431571", "UA-2023-01-30-003097-a")</f>
        <v>UA-2023-01-30-003097-a</v>
      </c>
      <c r="B22" s="17" t="s">
        <v>61</v>
      </c>
      <c r="C22" s="17" t="s">
        <v>125</v>
      </c>
      <c r="D22" s="18" t="s">
        <v>225</v>
      </c>
      <c r="E22" s="22">
        <v>44952</v>
      </c>
      <c r="F22" s="25">
        <v>21</v>
      </c>
      <c r="G22" s="25">
        <v>110150</v>
      </c>
      <c r="H22" s="17" t="s">
        <v>50</v>
      </c>
      <c r="I22" s="17" t="s">
        <v>51</v>
      </c>
      <c r="J22" s="17" t="s">
        <v>79</v>
      </c>
      <c r="K22" s="17" t="s">
        <v>80</v>
      </c>
      <c r="L22" s="17" t="s">
        <v>198</v>
      </c>
      <c r="M22" s="18">
        <v>8400</v>
      </c>
      <c r="N22" s="1"/>
      <c r="O22" s="1"/>
      <c r="Q22" s="5"/>
    </row>
    <row r="23" spans="1:17" s="4" customFormat="1" ht="195" x14ac:dyDescent="0.25">
      <c r="A23" s="17" t="str">
        <f>HYPERLINK("https://my.zakupki.prom.ua/remote/dispatcher/state_purchase_view/40431370", "UA-2023-01-30-002949-a")</f>
        <v>UA-2023-01-30-002949-a</v>
      </c>
      <c r="B23" s="17" t="s">
        <v>25</v>
      </c>
      <c r="C23" s="17" t="s">
        <v>126</v>
      </c>
      <c r="D23" s="18" t="s">
        <v>225</v>
      </c>
      <c r="E23" s="22">
        <v>44952</v>
      </c>
      <c r="F23" s="25">
        <v>22</v>
      </c>
      <c r="G23" s="25">
        <v>110150</v>
      </c>
      <c r="H23" s="17" t="s">
        <v>50</v>
      </c>
      <c r="I23" s="17" t="s">
        <v>51</v>
      </c>
      <c r="J23" s="17" t="s">
        <v>79</v>
      </c>
      <c r="K23" s="17" t="s">
        <v>80</v>
      </c>
      <c r="L23" s="17" t="s">
        <v>199</v>
      </c>
      <c r="M23" s="18">
        <v>8400</v>
      </c>
      <c r="N23" s="1"/>
      <c r="O23" s="1"/>
      <c r="Q23" s="5"/>
    </row>
    <row r="24" spans="1:17" s="4" customFormat="1" ht="150" x14ac:dyDescent="0.25">
      <c r="A24" s="17" t="str">
        <f>HYPERLINK("https://my.zakupki.prom.ua/remote/dispatcher/state_purchase_view/40430380", "UA-2023-01-30-002466-a")</f>
        <v>UA-2023-01-30-002466-a</v>
      </c>
      <c r="B24" s="17" t="s">
        <v>25</v>
      </c>
      <c r="C24" s="17" t="s">
        <v>127</v>
      </c>
      <c r="D24" s="18" t="s">
        <v>225</v>
      </c>
      <c r="E24" s="22">
        <v>44952</v>
      </c>
      <c r="F24" s="25">
        <v>23</v>
      </c>
      <c r="G24" s="25">
        <v>110150</v>
      </c>
      <c r="H24" s="17" t="s">
        <v>50</v>
      </c>
      <c r="I24" s="17" t="s">
        <v>51</v>
      </c>
      <c r="J24" s="17" t="s">
        <v>79</v>
      </c>
      <c r="K24" s="17" t="s">
        <v>80</v>
      </c>
      <c r="L24" s="17" t="s">
        <v>200</v>
      </c>
      <c r="M24" s="18">
        <v>9600</v>
      </c>
      <c r="N24" s="1"/>
      <c r="O24" s="1"/>
      <c r="Q24" s="5"/>
    </row>
    <row r="25" spans="1:17" s="4" customFormat="1" ht="195" x14ac:dyDescent="0.25">
      <c r="A25" s="17" t="str">
        <f>HYPERLINK("https://my.zakupki.prom.ua/remote/dispatcher/state_purchase_view/40451986", "UA-2023-01-30-013051-a")</f>
        <v>UA-2023-01-30-013051-a</v>
      </c>
      <c r="B25" s="17" t="s">
        <v>25</v>
      </c>
      <c r="C25" s="17" t="s">
        <v>123</v>
      </c>
      <c r="D25" s="18" t="s">
        <v>225</v>
      </c>
      <c r="E25" s="22">
        <v>44952</v>
      </c>
      <c r="F25" s="25">
        <v>24</v>
      </c>
      <c r="G25" s="25">
        <v>110150</v>
      </c>
      <c r="H25" s="17" t="s">
        <v>50</v>
      </c>
      <c r="I25" s="17" t="s">
        <v>51</v>
      </c>
      <c r="J25" s="17" t="s">
        <v>79</v>
      </c>
      <c r="K25" s="17" t="s">
        <v>80</v>
      </c>
      <c r="L25" s="17" t="s">
        <v>196</v>
      </c>
      <c r="M25" s="18">
        <v>9600</v>
      </c>
      <c r="N25" s="1"/>
      <c r="O25" s="1"/>
      <c r="Q25" s="5"/>
    </row>
    <row r="26" spans="1:17" s="4" customFormat="1" ht="75" x14ac:dyDescent="0.25">
      <c r="A26" s="17" t="str">
        <f>HYPERLINK("https://my.zakupki.prom.ua/remote/dispatcher/state_purchase_view/40428557", "UA-2023-01-30-001581-a")</f>
        <v>UA-2023-01-30-001581-a</v>
      </c>
      <c r="B26" s="17" t="s">
        <v>11</v>
      </c>
      <c r="C26" s="17" t="s">
        <v>128</v>
      </c>
      <c r="D26" s="18" t="s">
        <v>226</v>
      </c>
      <c r="E26" s="22">
        <v>44952</v>
      </c>
      <c r="F26" s="25">
        <v>25</v>
      </c>
      <c r="G26" s="25">
        <v>110150</v>
      </c>
      <c r="H26" s="17" t="s">
        <v>50</v>
      </c>
      <c r="I26" s="17" t="s">
        <v>51</v>
      </c>
      <c r="J26" s="17" t="s">
        <v>75</v>
      </c>
      <c r="K26" s="17" t="s">
        <v>76</v>
      </c>
      <c r="L26" s="17" t="s">
        <v>201</v>
      </c>
      <c r="M26" s="18">
        <v>1496.04</v>
      </c>
      <c r="N26" s="1"/>
      <c r="O26" s="1"/>
      <c r="Q26" s="5"/>
    </row>
    <row r="27" spans="1:17" s="4" customFormat="1" ht="75" x14ac:dyDescent="0.25">
      <c r="A27" s="17" t="str">
        <f>HYPERLINK("https://my.zakupki.prom.ua/remote/dispatcher/state_purchase_view/40468253", "UA-2023-01-31-001882-a")</f>
        <v>UA-2023-01-31-001882-a</v>
      </c>
      <c r="B27" s="17" t="s">
        <v>36</v>
      </c>
      <c r="C27" s="17" t="s">
        <v>122</v>
      </c>
      <c r="D27" s="18" t="s">
        <v>223</v>
      </c>
      <c r="E27" s="22">
        <v>44952</v>
      </c>
      <c r="F27" s="25">
        <v>26</v>
      </c>
      <c r="G27" s="25">
        <v>118240</v>
      </c>
      <c r="H27" s="17" t="s">
        <v>50</v>
      </c>
      <c r="I27" s="17" t="s">
        <v>51</v>
      </c>
      <c r="J27" s="17" t="s">
        <v>93</v>
      </c>
      <c r="K27" s="17" t="s">
        <v>94</v>
      </c>
      <c r="L27" s="17" t="s">
        <v>195</v>
      </c>
      <c r="M27" s="18">
        <v>25940</v>
      </c>
      <c r="N27" s="1"/>
      <c r="O27" s="1"/>
      <c r="Q27" s="5"/>
    </row>
    <row r="28" spans="1:17" s="4" customFormat="1" ht="90" x14ac:dyDescent="0.25">
      <c r="A28" s="17" t="str">
        <f>HYPERLINK("https://my.zakupki.prom.ua/remote/dispatcher/state_purchase_view/40534478", "UA-2023-02-01-016883-a")</f>
        <v>UA-2023-02-01-016883-a</v>
      </c>
      <c r="B28" s="17" t="s">
        <v>14</v>
      </c>
      <c r="C28" s="17" t="s">
        <v>121</v>
      </c>
      <c r="D28" s="18" t="s">
        <v>225</v>
      </c>
      <c r="E28" s="22">
        <v>44956</v>
      </c>
      <c r="F28" s="25">
        <v>27</v>
      </c>
      <c r="G28" s="25">
        <v>110150</v>
      </c>
      <c r="H28" s="17" t="s">
        <v>50</v>
      </c>
      <c r="I28" s="17" t="s">
        <v>51</v>
      </c>
      <c r="J28" s="17" t="s">
        <v>148</v>
      </c>
      <c r="K28" s="17" t="s">
        <v>164</v>
      </c>
      <c r="L28" s="17" t="s">
        <v>194</v>
      </c>
      <c r="M28" s="18">
        <v>65400</v>
      </c>
      <c r="N28" s="1"/>
      <c r="O28" s="1"/>
      <c r="Q28" s="5"/>
    </row>
    <row r="29" spans="1:17" s="4" customFormat="1" ht="90" x14ac:dyDescent="0.25">
      <c r="A29" s="17" t="str">
        <f>HYPERLINK("https://my.zakupki.prom.ua/remote/dispatcher/state_purchase_view/40542317", "UA-2023-02-02-002327-a")</f>
        <v>UA-2023-02-02-002327-a</v>
      </c>
      <c r="B29" s="17" t="s">
        <v>12</v>
      </c>
      <c r="C29" s="17" t="s">
        <v>118</v>
      </c>
      <c r="D29" s="18" t="s">
        <v>225</v>
      </c>
      <c r="E29" s="22">
        <v>44956</v>
      </c>
      <c r="F29" s="27">
        <v>28</v>
      </c>
      <c r="G29" s="25">
        <v>110150</v>
      </c>
      <c r="H29" s="17" t="s">
        <v>50</v>
      </c>
      <c r="I29" s="17" t="s">
        <v>51</v>
      </c>
      <c r="J29" s="17" t="s">
        <v>147</v>
      </c>
      <c r="K29" s="17" t="s">
        <v>163</v>
      </c>
      <c r="L29" s="17" t="s">
        <v>192</v>
      </c>
      <c r="M29" s="18">
        <v>35568</v>
      </c>
      <c r="N29" s="1"/>
      <c r="O29" s="1"/>
      <c r="Q29" s="5"/>
    </row>
    <row r="30" spans="1:17" s="4" customFormat="1" ht="120" x14ac:dyDescent="0.25">
      <c r="A30" s="17" t="str">
        <f>HYPERLINK("https://my.zakupki.prom.ua/remote/dispatcher/state_purchase_view/40534710", "UA-2023-02-01-017007-a")</f>
        <v>UA-2023-02-01-017007-a</v>
      </c>
      <c r="B30" s="17" t="s">
        <v>38</v>
      </c>
      <c r="C30" s="17" t="s">
        <v>119</v>
      </c>
      <c r="D30" s="18" t="s">
        <v>223</v>
      </c>
      <c r="E30" s="22">
        <v>44956</v>
      </c>
      <c r="F30" s="27">
        <v>29</v>
      </c>
      <c r="G30" s="25">
        <v>110150</v>
      </c>
      <c r="H30" s="17" t="s">
        <v>50</v>
      </c>
      <c r="I30" s="17" t="s">
        <v>51</v>
      </c>
      <c r="J30" s="17" t="s">
        <v>77</v>
      </c>
      <c r="K30" s="17" t="s">
        <v>78</v>
      </c>
      <c r="L30" s="17" t="s">
        <v>57</v>
      </c>
      <c r="M30" s="18">
        <v>8301.3700000000008</v>
      </c>
      <c r="N30" s="1"/>
      <c r="O30" s="1"/>
      <c r="Q30" s="5"/>
    </row>
    <row r="31" spans="1:17" s="4" customFormat="1" ht="75" x14ac:dyDescent="0.25">
      <c r="A31" s="17" t="str">
        <f>HYPERLINK("https://my.zakupki.prom.ua/remote/dispatcher/state_purchase_view/40534681", "UA-2023-02-01-016981-a")</f>
        <v>UA-2023-02-01-016981-a</v>
      </c>
      <c r="B31" s="17" t="s">
        <v>35</v>
      </c>
      <c r="C31" s="17" t="s">
        <v>120</v>
      </c>
      <c r="D31" s="18" t="s">
        <v>223</v>
      </c>
      <c r="E31" s="22">
        <v>44956</v>
      </c>
      <c r="F31" s="25">
        <v>30</v>
      </c>
      <c r="G31" s="25">
        <v>110150</v>
      </c>
      <c r="H31" s="17" t="s">
        <v>50</v>
      </c>
      <c r="I31" s="17" t="s">
        <v>51</v>
      </c>
      <c r="J31" s="17" t="s">
        <v>77</v>
      </c>
      <c r="K31" s="17" t="s">
        <v>78</v>
      </c>
      <c r="L31" s="17" t="s">
        <v>193</v>
      </c>
      <c r="M31" s="18">
        <v>11259.64</v>
      </c>
      <c r="N31" s="1"/>
      <c r="O31" s="1"/>
      <c r="Q31" s="5"/>
    </row>
    <row r="32" spans="1:17" s="4" customFormat="1" ht="105" x14ac:dyDescent="0.25">
      <c r="A32" s="17" t="str">
        <f>HYPERLINK("https://my.zakupki.prom.ua/remote/dispatcher/state_purchase_view/40008355", "UA-2023-01-11-008781-a")</f>
        <v>UA-2023-01-11-008781-a</v>
      </c>
      <c r="B32" s="17" t="s">
        <v>21</v>
      </c>
      <c r="C32" s="17" t="s">
        <v>29</v>
      </c>
      <c r="D32" s="17" t="s">
        <v>221</v>
      </c>
      <c r="E32" s="22">
        <v>44956</v>
      </c>
      <c r="F32" s="25">
        <v>31</v>
      </c>
      <c r="G32" s="25">
        <v>110150</v>
      </c>
      <c r="H32" s="17" t="s">
        <v>50</v>
      </c>
      <c r="I32" s="17" t="s">
        <v>51</v>
      </c>
      <c r="J32" s="17" t="s">
        <v>64</v>
      </c>
      <c r="K32" s="17" t="s">
        <v>175</v>
      </c>
      <c r="L32" s="17" t="s">
        <v>218</v>
      </c>
      <c r="M32" s="18">
        <v>2491500</v>
      </c>
      <c r="N32" s="1"/>
      <c r="O32" s="1"/>
      <c r="Q32" s="5"/>
    </row>
    <row r="33" spans="1:17" s="4" customFormat="1" ht="33.75" customHeight="1" x14ac:dyDescent="0.25">
      <c r="A33" s="17" t="s">
        <v>219</v>
      </c>
      <c r="B33" s="17"/>
      <c r="C33" s="17"/>
      <c r="D33" s="17" t="s">
        <v>221</v>
      </c>
      <c r="E33" s="22">
        <v>44956</v>
      </c>
      <c r="F33" s="25">
        <v>32</v>
      </c>
      <c r="G33" s="25">
        <v>110150</v>
      </c>
      <c r="H33" s="17" t="s">
        <v>50</v>
      </c>
      <c r="I33" s="17" t="s">
        <v>51</v>
      </c>
      <c r="J33" s="17">
        <v>3513912089</v>
      </c>
      <c r="K33" s="17" t="s">
        <v>227</v>
      </c>
      <c r="L33" s="17"/>
      <c r="M33" s="18"/>
      <c r="N33" s="1"/>
      <c r="O33" s="1"/>
      <c r="Q33" s="5"/>
    </row>
    <row r="34" spans="1:17" s="4" customFormat="1" ht="45" x14ac:dyDescent="0.25">
      <c r="A34" s="17" t="s">
        <v>219</v>
      </c>
      <c r="B34" s="17"/>
      <c r="C34" s="17"/>
      <c r="D34" s="17" t="s">
        <v>221</v>
      </c>
      <c r="E34" s="22">
        <v>44956</v>
      </c>
      <c r="F34" s="25">
        <v>33</v>
      </c>
      <c r="G34" s="25">
        <v>110150</v>
      </c>
      <c r="H34" s="17" t="s">
        <v>50</v>
      </c>
      <c r="I34" s="17" t="s">
        <v>51</v>
      </c>
      <c r="J34" s="17">
        <v>25072130</v>
      </c>
      <c r="K34" s="17" t="s">
        <v>228</v>
      </c>
      <c r="L34" s="17"/>
      <c r="M34" s="18"/>
      <c r="N34" s="1"/>
      <c r="O34" s="1"/>
      <c r="Q34" s="5"/>
    </row>
    <row r="35" spans="1:17" s="4" customFormat="1" ht="120" x14ac:dyDescent="0.25">
      <c r="A35" s="12" t="str">
        <f>HYPERLINK("https://my.zakupki.prom.ua/remote/dispatcher/state_purchase_view/40084809", "UA-2023-01-16-012311-a")</f>
        <v>UA-2023-01-16-012311-a</v>
      </c>
      <c r="B35" s="12" t="s">
        <v>46</v>
      </c>
      <c r="C35" s="12" t="s">
        <v>43</v>
      </c>
      <c r="D35" s="13" t="s">
        <v>223</v>
      </c>
      <c r="E35" s="14">
        <v>44958</v>
      </c>
      <c r="F35" s="6">
        <v>34</v>
      </c>
      <c r="G35" s="6" t="s">
        <v>231</v>
      </c>
      <c r="H35" s="12" t="s">
        <v>50</v>
      </c>
      <c r="I35" s="12" t="s">
        <v>51</v>
      </c>
      <c r="J35" s="12" t="s">
        <v>95</v>
      </c>
      <c r="K35" s="12" t="s">
        <v>96</v>
      </c>
      <c r="L35" s="12" t="s">
        <v>216</v>
      </c>
      <c r="M35" s="13">
        <v>583000</v>
      </c>
      <c r="N35" s="1"/>
      <c r="O35" s="1"/>
      <c r="Q35" s="5"/>
    </row>
    <row r="36" spans="1:17" s="4" customFormat="1" ht="195" x14ac:dyDescent="0.25">
      <c r="A36" s="12" t="str">
        <f>HYPERLINK("https://my.zakupki.prom.ua/remote/dispatcher/state_purchase_view/40572713", "UA-2023-02-02-017284-a")</f>
        <v>UA-2023-02-02-017284-a</v>
      </c>
      <c r="B36" s="12" t="s">
        <v>22</v>
      </c>
      <c r="C36" s="12" t="s">
        <v>117</v>
      </c>
      <c r="D36" s="13" t="s">
        <v>225</v>
      </c>
      <c r="E36" s="14">
        <v>44958</v>
      </c>
      <c r="F36" s="15">
        <v>35</v>
      </c>
      <c r="G36" s="16">
        <v>116090</v>
      </c>
      <c r="H36" s="12" t="s">
        <v>50</v>
      </c>
      <c r="I36" s="12" t="s">
        <v>51</v>
      </c>
      <c r="J36" s="12" t="s">
        <v>87</v>
      </c>
      <c r="K36" s="12" t="s">
        <v>88</v>
      </c>
      <c r="L36" s="12" t="s">
        <v>191</v>
      </c>
      <c r="M36" s="13">
        <v>190000</v>
      </c>
      <c r="N36" s="1"/>
      <c r="O36" s="1"/>
      <c r="Q36" s="5"/>
    </row>
    <row r="37" spans="1:17" s="4" customFormat="1" ht="75" x14ac:dyDescent="0.25">
      <c r="A37" s="12" t="s">
        <v>229</v>
      </c>
      <c r="B37" s="12"/>
      <c r="C37" s="12"/>
      <c r="D37" s="13" t="s">
        <v>225</v>
      </c>
      <c r="E37" s="14">
        <v>44958</v>
      </c>
      <c r="F37" s="15">
        <v>36</v>
      </c>
      <c r="G37" s="16">
        <v>117640</v>
      </c>
      <c r="H37" s="12" t="s">
        <v>50</v>
      </c>
      <c r="I37" s="12" t="s">
        <v>51</v>
      </c>
      <c r="J37" s="12">
        <v>44057260</v>
      </c>
      <c r="K37" s="12" t="s">
        <v>230</v>
      </c>
      <c r="L37" s="12"/>
      <c r="M37" s="13">
        <v>19283</v>
      </c>
      <c r="N37" s="1"/>
      <c r="O37" s="1"/>
      <c r="Q37" s="5"/>
    </row>
    <row r="38" spans="1:17" s="4" customFormat="1" ht="60" x14ac:dyDescent="0.25">
      <c r="A38" s="12" t="str">
        <f>HYPERLINK("https://my.zakupki.prom.ua/remote/dispatcher/state_purchase_view/40586241", "UA-2023-02-03-004576-a")</f>
        <v>UA-2023-02-03-004576-a</v>
      </c>
      <c r="B38" s="12" t="s">
        <v>17</v>
      </c>
      <c r="C38" s="12" t="s">
        <v>115</v>
      </c>
      <c r="D38" s="13" t="s">
        <v>232</v>
      </c>
      <c r="E38" s="14">
        <v>44958</v>
      </c>
      <c r="F38" s="6">
        <v>37</v>
      </c>
      <c r="G38" s="6">
        <v>110150</v>
      </c>
      <c r="H38" s="12" t="s">
        <v>50</v>
      </c>
      <c r="I38" s="12" t="s">
        <v>51</v>
      </c>
      <c r="J38" s="12" t="s">
        <v>146</v>
      </c>
      <c r="K38" s="12" t="s">
        <v>162</v>
      </c>
      <c r="L38" s="12" t="s">
        <v>188</v>
      </c>
      <c r="M38" s="13">
        <v>26374.400000000001</v>
      </c>
      <c r="N38" s="1"/>
      <c r="O38" s="1"/>
      <c r="Q38" s="5"/>
    </row>
    <row r="39" spans="1:17" s="4" customFormat="1" ht="105" x14ac:dyDescent="0.25">
      <c r="A39" s="12" t="str">
        <f>HYPERLINK("https://my.zakupki.prom.ua/remote/dispatcher/state_purchase_view/40586835", "UA-2023-02-03-004833-a")</f>
        <v>UA-2023-02-03-004833-a</v>
      </c>
      <c r="B39" s="12" t="s">
        <v>18</v>
      </c>
      <c r="C39" s="12" t="s">
        <v>114</v>
      </c>
      <c r="D39" s="13" t="s">
        <v>232</v>
      </c>
      <c r="E39" s="14">
        <v>44958</v>
      </c>
      <c r="F39" s="6">
        <v>38</v>
      </c>
      <c r="G39" s="6">
        <v>110150</v>
      </c>
      <c r="H39" s="12" t="s">
        <v>50</v>
      </c>
      <c r="I39" s="12" t="s">
        <v>51</v>
      </c>
      <c r="J39" s="12" t="s">
        <v>146</v>
      </c>
      <c r="K39" s="12" t="s">
        <v>162</v>
      </c>
      <c r="L39" s="12" t="s">
        <v>187</v>
      </c>
      <c r="M39" s="13">
        <v>13405.6</v>
      </c>
      <c r="N39" s="1"/>
      <c r="O39" s="1"/>
      <c r="Q39" s="5"/>
    </row>
    <row r="40" spans="1:17" s="4" customFormat="1" ht="90" x14ac:dyDescent="0.25">
      <c r="A40" s="12" t="str">
        <f>HYPERLINK("https://my.zakupki.prom.ua/remote/dispatcher/state_purchase_view/40574684", "UA-2023-02-02-018300-a")</f>
        <v>UA-2023-02-02-018300-a</v>
      </c>
      <c r="B40" s="12" t="s">
        <v>19</v>
      </c>
      <c r="C40" s="12" t="s">
        <v>116</v>
      </c>
      <c r="D40" s="12" t="s">
        <v>221</v>
      </c>
      <c r="E40" s="14">
        <v>44958</v>
      </c>
      <c r="F40" s="6">
        <v>39</v>
      </c>
      <c r="G40" s="6">
        <v>110150</v>
      </c>
      <c r="H40" s="12" t="s">
        <v>50</v>
      </c>
      <c r="I40" s="12" t="s">
        <v>51</v>
      </c>
      <c r="J40" s="12" t="s">
        <v>62</v>
      </c>
      <c r="K40" s="12" t="s">
        <v>63</v>
      </c>
      <c r="L40" s="12" t="s">
        <v>190</v>
      </c>
      <c r="M40" s="13">
        <v>864962.5</v>
      </c>
      <c r="N40" s="1"/>
      <c r="O40" s="1"/>
      <c r="Q40" s="5"/>
    </row>
    <row r="41" spans="1:17" s="4" customFormat="1" ht="90" x14ac:dyDescent="0.25">
      <c r="A41" s="12" t="str">
        <f>HYPERLINK("https://my.zakupki.prom.ua/remote/dispatcher/state_purchase_view/40574766", "UA-2023-02-02-018340-a")</f>
        <v>UA-2023-02-02-018340-a</v>
      </c>
      <c r="B41" s="12" t="s">
        <v>19</v>
      </c>
      <c r="C41" s="12" t="s">
        <v>116</v>
      </c>
      <c r="D41" s="12" t="s">
        <v>221</v>
      </c>
      <c r="E41" s="14">
        <v>44958</v>
      </c>
      <c r="F41" s="6">
        <v>40</v>
      </c>
      <c r="G41" s="6">
        <v>110150</v>
      </c>
      <c r="H41" s="12" t="s">
        <v>50</v>
      </c>
      <c r="I41" s="12" t="s">
        <v>51</v>
      </c>
      <c r="J41" s="12" t="s">
        <v>62</v>
      </c>
      <c r="K41" s="12" t="s">
        <v>63</v>
      </c>
      <c r="L41" s="12" t="s">
        <v>190</v>
      </c>
      <c r="M41" s="13">
        <v>174387.6</v>
      </c>
      <c r="N41" s="1"/>
      <c r="O41" s="1"/>
      <c r="Q41" s="5"/>
    </row>
    <row r="42" spans="1:17" s="4" customFormat="1" ht="90" x14ac:dyDescent="0.25">
      <c r="A42" s="12" t="str">
        <f>HYPERLINK("https://my.zakupki.prom.ua/remote/dispatcher/state_purchase_view/40574786", "UA-2023-02-02-018356-a")</f>
        <v>UA-2023-02-02-018356-a</v>
      </c>
      <c r="B42" s="12" t="s">
        <v>19</v>
      </c>
      <c r="C42" s="12" t="s">
        <v>27</v>
      </c>
      <c r="D42" s="12" t="s">
        <v>221</v>
      </c>
      <c r="E42" s="14">
        <v>44958</v>
      </c>
      <c r="F42" s="6">
        <v>41</v>
      </c>
      <c r="G42" s="6">
        <v>110150</v>
      </c>
      <c r="H42" s="12" t="s">
        <v>50</v>
      </c>
      <c r="I42" s="12" t="s">
        <v>51</v>
      </c>
      <c r="J42" s="12" t="s">
        <v>65</v>
      </c>
      <c r="K42" s="12" t="s">
        <v>66</v>
      </c>
      <c r="L42" s="12" t="s">
        <v>189</v>
      </c>
      <c r="M42" s="13">
        <v>69755.039999999994</v>
      </c>
      <c r="N42" s="1"/>
      <c r="O42" s="1"/>
      <c r="Q42" s="5"/>
    </row>
    <row r="43" spans="1:17" s="4" customFormat="1" ht="150" x14ac:dyDescent="0.25">
      <c r="A43" s="12" t="str">
        <f>HYPERLINK("https://my.zakupki.prom.ua/remote/dispatcher/state_purchase_view/40596006", "UA-2023-02-03-009328-a")</f>
        <v>UA-2023-02-03-009328-a</v>
      </c>
      <c r="B43" s="12" t="s">
        <v>31</v>
      </c>
      <c r="C43" s="12" t="s">
        <v>113</v>
      </c>
      <c r="D43" s="13" t="s">
        <v>225</v>
      </c>
      <c r="E43" s="14">
        <v>44958</v>
      </c>
      <c r="F43" s="6">
        <v>42</v>
      </c>
      <c r="G43" s="6">
        <v>118230</v>
      </c>
      <c r="H43" s="12" t="s">
        <v>50</v>
      </c>
      <c r="I43" s="12" t="s">
        <v>51</v>
      </c>
      <c r="J43" s="12" t="s">
        <v>145</v>
      </c>
      <c r="K43" s="12" t="s">
        <v>161</v>
      </c>
      <c r="L43" s="12" t="s">
        <v>186</v>
      </c>
      <c r="M43" s="13">
        <v>11448</v>
      </c>
      <c r="N43" s="1"/>
      <c r="O43" s="1"/>
      <c r="Q43" s="5"/>
    </row>
    <row r="44" spans="1:17" s="4" customFormat="1" ht="165" x14ac:dyDescent="0.25">
      <c r="A44" s="12" t="str">
        <f>HYPERLINK("https://my.zakupki.prom.ua/remote/dispatcher/state_purchase_view/40637392", "UA-2023-02-06-010443-a")</f>
        <v>UA-2023-02-06-010443-a</v>
      </c>
      <c r="B44" s="12" t="s">
        <v>31</v>
      </c>
      <c r="C44" s="12" t="s">
        <v>110</v>
      </c>
      <c r="D44" s="13" t="s">
        <v>225</v>
      </c>
      <c r="E44" s="14">
        <v>44959</v>
      </c>
      <c r="F44" s="6">
        <v>43</v>
      </c>
      <c r="G44" s="6">
        <v>118230</v>
      </c>
      <c r="H44" s="12" t="s">
        <v>50</v>
      </c>
      <c r="I44" s="12" t="s">
        <v>51</v>
      </c>
      <c r="J44" s="12" t="s">
        <v>69</v>
      </c>
      <c r="K44" s="12" t="s">
        <v>70</v>
      </c>
      <c r="L44" s="12" t="s">
        <v>184</v>
      </c>
      <c r="M44" s="13">
        <v>6616.05</v>
      </c>
      <c r="N44" s="1"/>
      <c r="O44" s="1"/>
      <c r="Q44" s="5"/>
    </row>
    <row r="45" spans="1:17" s="4" customFormat="1" ht="105" x14ac:dyDescent="0.25">
      <c r="A45" s="12" t="str">
        <f>HYPERLINK("https://my.zakupki.prom.ua/remote/dispatcher/state_purchase_view/40606829", "UA-2023-02-03-014604-a")</f>
        <v>UA-2023-02-03-014604-a</v>
      </c>
      <c r="B45" s="12" t="s">
        <v>45</v>
      </c>
      <c r="C45" s="12" t="s">
        <v>112</v>
      </c>
      <c r="D45" s="13" t="s">
        <v>225</v>
      </c>
      <c r="E45" s="14">
        <v>44959</v>
      </c>
      <c r="F45" s="6">
        <v>44</v>
      </c>
      <c r="G45" s="6">
        <v>118230</v>
      </c>
      <c r="H45" s="12" t="s">
        <v>50</v>
      </c>
      <c r="I45" s="12" t="s">
        <v>51</v>
      </c>
      <c r="J45" s="12" t="s">
        <v>91</v>
      </c>
      <c r="K45" s="12" t="s">
        <v>92</v>
      </c>
      <c r="L45" s="12" t="s">
        <v>185</v>
      </c>
      <c r="M45" s="13">
        <v>494273</v>
      </c>
      <c r="N45" s="1"/>
      <c r="O45" s="1"/>
      <c r="Q45" s="5"/>
    </row>
    <row r="46" spans="1:17" s="4" customFormat="1" ht="75" x14ac:dyDescent="0.25">
      <c r="A46" s="12" t="str">
        <f>HYPERLINK("https://my.zakupki.prom.ua/remote/dispatcher/state_purchase_view/40608193", "UA-2023-02-03-015283-a")</f>
        <v>UA-2023-02-03-015283-a</v>
      </c>
      <c r="B46" s="12" t="s">
        <v>28</v>
      </c>
      <c r="C46" s="12" t="s">
        <v>111</v>
      </c>
      <c r="D46" s="13" t="s">
        <v>223</v>
      </c>
      <c r="E46" s="14">
        <v>44959</v>
      </c>
      <c r="F46" s="6">
        <v>45</v>
      </c>
      <c r="G46" s="6">
        <v>118230</v>
      </c>
      <c r="H46" s="12" t="s">
        <v>50</v>
      </c>
      <c r="I46" s="12" t="s">
        <v>51</v>
      </c>
      <c r="J46" s="12" t="s">
        <v>101</v>
      </c>
      <c r="K46" s="12" t="s">
        <v>160</v>
      </c>
      <c r="L46" s="12" t="s">
        <v>182</v>
      </c>
      <c r="M46" s="13">
        <v>74844</v>
      </c>
      <c r="N46" s="1"/>
      <c r="O46" s="1"/>
      <c r="Q46" s="5"/>
    </row>
    <row r="47" spans="1:17" s="4" customFormat="1" ht="135" x14ac:dyDescent="0.25">
      <c r="A47" s="12" t="str">
        <f>HYPERLINK("https://my.zakupki.prom.ua/remote/dispatcher/state_purchase_view/40684109", "UA-2023-02-07-016194-a")</f>
        <v>UA-2023-02-07-016194-a</v>
      </c>
      <c r="B47" s="12" t="s">
        <v>31</v>
      </c>
      <c r="C47" s="12" t="s">
        <v>106</v>
      </c>
      <c r="D47" s="13" t="s">
        <v>225</v>
      </c>
      <c r="E47" s="14">
        <v>44959</v>
      </c>
      <c r="F47" s="6">
        <v>46</v>
      </c>
      <c r="G47" s="6">
        <v>118230</v>
      </c>
      <c r="H47" s="12" t="s">
        <v>50</v>
      </c>
      <c r="I47" s="12" t="s">
        <v>51</v>
      </c>
      <c r="J47" s="12" t="s">
        <v>144</v>
      </c>
      <c r="K47" s="12" t="s">
        <v>159</v>
      </c>
      <c r="L47" s="12" t="s">
        <v>179</v>
      </c>
      <c r="M47" s="13">
        <v>3240</v>
      </c>
      <c r="N47" s="1"/>
      <c r="O47" s="1"/>
      <c r="Q47" s="5"/>
    </row>
    <row r="48" spans="1:17" s="4" customFormat="1" ht="120" x14ac:dyDescent="0.25">
      <c r="A48" s="12" t="str">
        <f>HYPERLINK("https://my.zakupki.prom.ua/remote/dispatcher/state_purchase_view/40641046", "UA-2023-02-06-012123-a")</f>
        <v>UA-2023-02-06-012123-a</v>
      </c>
      <c r="B48" s="12" t="s">
        <v>15</v>
      </c>
      <c r="C48" s="12" t="s">
        <v>107</v>
      </c>
      <c r="D48" s="13" t="s">
        <v>225</v>
      </c>
      <c r="E48" s="14">
        <v>44960</v>
      </c>
      <c r="F48" s="6">
        <v>47</v>
      </c>
      <c r="G48" s="6">
        <v>110150</v>
      </c>
      <c r="H48" s="12" t="s">
        <v>50</v>
      </c>
      <c r="I48" s="12" t="s">
        <v>51</v>
      </c>
      <c r="J48" s="12" t="s">
        <v>71</v>
      </c>
      <c r="K48" s="12" t="s">
        <v>72</v>
      </c>
      <c r="L48" s="12" t="s">
        <v>180</v>
      </c>
      <c r="M48" s="13">
        <v>1657</v>
      </c>
      <c r="N48" s="1"/>
      <c r="O48" s="1"/>
      <c r="Q48" s="5"/>
    </row>
    <row r="49" spans="1:17" s="4" customFormat="1" ht="90" x14ac:dyDescent="0.25">
      <c r="A49" s="12" t="str">
        <f>HYPERLINK("https://my.zakupki.prom.ua/remote/dispatcher/state_purchase_view/40640185", "UA-2023-02-06-011748-a")</f>
        <v>UA-2023-02-06-011748-a</v>
      </c>
      <c r="B49" s="12" t="s">
        <v>54</v>
      </c>
      <c r="C49" s="12" t="s">
        <v>55</v>
      </c>
      <c r="D49" s="13" t="s">
        <v>225</v>
      </c>
      <c r="E49" s="14">
        <v>44960</v>
      </c>
      <c r="F49" s="6">
        <v>48</v>
      </c>
      <c r="G49" s="6">
        <v>113112</v>
      </c>
      <c r="H49" s="12" t="s">
        <v>50</v>
      </c>
      <c r="I49" s="12" t="s">
        <v>51</v>
      </c>
      <c r="J49" s="12" t="s">
        <v>85</v>
      </c>
      <c r="K49" s="12" t="s">
        <v>86</v>
      </c>
      <c r="L49" s="12" t="s">
        <v>181</v>
      </c>
      <c r="M49" s="13">
        <v>10680</v>
      </c>
      <c r="N49" s="1"/>
      <c r="O49" s="1"/>
      <c r="Q49" s="5"/>
    </row>
    <row r="50" spans="1:17" s="4" customFormat="1" ht="75" x14ac:dyDescent="0.25">
      <c r="A50" s="12" t="str">
        <f>HYPERLINK("https://my.zakupki.prom.ua/remote/dispatcher/state_purchase_view/40639197", "UA-2023-02-06-011249-a")</f>
        <v>UA-2023-02-06-011249-a</v>
      </c>
      <c r="B50" s="12" t="s">
        <v>28</v>
      </c>
      <c r="C50" s="12" t="s">
        <v>108</v>
      </c>
      <c r="D50" s="13" t="s">
        <v>223</v>
      </c>
      <c r="E50" s="14">
        <v>44960</v>
      </c>
      <c r="F50" s="6">
        <v>49</v>
      </c>
      <c r="G50" s="6">
        <v>118230</v>
      </c>
      <c r="H50" s="12" t="s">
        <v>50</v>
      </c>
      <c r="I50" s="12" t="s">
        <v>51</v>
      </c>
      <c r="J50" s="12" t="s">
        <v>97</v>
      </c>
      <c r="K50" s="12" t="s">
        <v>98</v>
      </c>
      <c r="L50" s="12" t="s">
        <v>182</v>
      </c>
      <c r="M50" s="13">
        <v>287000</v>
      </c>
      <c r="N50" s="1"/>
      <c r="O50" s="1"/>
      <c r="Q50" s="5"/>
    </row>
    <row r="51" spans="1:17" s="4" customFormat="1" ht="60" x14ac:dyDescent="0.25">
      <c r="A51" s="12" t="str">
        <f>HYPERLINK("https://my.zakupki.prom.ua/remote/dispatcher/state_purchase_view/40638531", "UA-2023-02-06-010964-a")</f>
        <v>UA-2023-02-06-010964-a</v>
      </c>
      <c r="B51" s="12" t="s">
        <v>59</v>
      </c>
      <c r="C51" s="12" t="s">
        <v>109</v>
      </c>
      <c r="D51" s="13" t="s">
        <v>223</v>
      </c>
      <c r="E51" s="14">
        <v>44960</v>
      </c>
      <c r="F51" s="6">
        <v>50</v>
      </c>
      <c r="G51" s="6">
        <v>118230</v>
      </c>
      <c r="H51" s="12" t="s">
        <v>50</v>
      </c>
      <c r="I51" s="12" t="s">
        <v>51</v>
      </c>
      <c r="J51" s="12" t="s">
        <v>97</v>
      </c>
      <c r="K51" s="12" t="s">
        <v>98</v>
      </c>
      <c r="L51" s="12" t="s">
        <v>183</v>
      </c>
      <c r="M51" s="13">
        <v>77025</v>
      </c>
      <c r="N51" s="1"/>
      <c r="O51" s="1"/>
      <c r="Q51" s="5"/>
    </row>
    <row r="52" spans="1:17" s="4" customFormat="1" ht="75" x14ac:dyDescent="0.25">
      <c r="A52" s="12" t="str">
        <f>HYPERLINK("https://my.zakupki.prom.ua/remote/dispatcher/state_purchase_view/40684940", "UA-2023-02-07-016590-a")</f>
        <v>UA-2023-02-07-016590-a</v>
      </c>
      <c r="B52" s="12" t="s">
        <v>45</v>
      </c>
      <c r="C52" s="12" t="s">
        <v>105</v>
      </c>
      <c r="D52" s="13" t="s">
        <v>225</v>
      </c>
      <c r="E52" s="14">
        <v>44960</v>
      </c>
      <c r="F52" s="6">
        <v>51</v>
      </c>
      <c r="G52" s="6">
        <v>118230</v>
      </c>
      <c r="H52" s="12" t="s">
        <v>50</v>
      </c>
      <c r="I52" s="12" t="s">
        <v>51</v>
      </c>
      <c r="J52" s="12" t="s">
        <v>99</v>
      </c>
      <c r="K52" s="12" t="s">
        <v>100</v>
      </c>
      <c r="L52" s="12" t="s">
        <v>178</v>
      </c>
      <c r="M52" s="13">
        <v>751168.8</v>
      </c>
      <c r="N52" s="1"/>
      <c r="O52" s="1"/>
      <c r="Q52" s="5"/>
    </row>
    <row r="53" spans="1:17" s="4" customFormat="1" ht="135" x14ac:dyDescent="0.25">
      <c r="A53" s="12" t="str">
        <f>HYPERLINK("https://my.zakupki.prom.ua/remote/dispatcher/state_purchase_view/40685006", "UA-2023-02-07-016625-a")</f>
        <v>UA-2023-02-07-016625-a</v>
      </c>
      <c r="B53" s="12" t="s">
        <v>31</v>
      </c>
      <c r="C53" s="12" t="s">
        <v>104</v>
      </c>
      <c r="D53" s="13" t="s">
        <v>225</v>
      </c>
      <c r="E53" s="14">
        <v>44960</v>
      </c>
      <c r="F53" s="6">
        <v>52</v>
      </c>
      <c r="G53" s="6">
        <v>118230</v>
      </c>
      <c r="H53" s="12" t="s">
        <v>50</v>
      </c>
      <c r="I53" s="12" t="s">
        <v>51</v>
      </c>
      <c r="J53" s="12" t="s">
        <v>69</v>
      </c>
      <c r="K53" s="12" t="s">
        <v>70</v>
      </c>
      <c r="L53" s="12" t="s">
        <v>177</v>
      </c>
      <c r="M53" s="13">
        <v>9281.41</v>
      </c>
      <c r="N53" s="1"/>
      <c r="O53" s="1"/>
      <c r="Q53" s="5"/>
    </row>
    <row r="54" spans="1:17" s="4" customFormat="1" ht="120" x14ac:dyDescent="0.25">
      <c r="A54" s="12" t="str">
        <f>HYPERLINK("https://my.zakupki.prom.ua/remote/dispatcher/state_purchase_view/40088812", "UA-2023-01-16-014048-a")</f>
        <v>UA-2023-01-16-014048-a</v>
      </c>
      <c r="B54" s="12" t="s">
        <v>40</v>
      </c>
      <c r="C54" s="12" t="s">
        <v>44</v>
      </c>
      <c r="D54" s="13" t="s">
        <v>223</v>
      </c>
      <c r="E54" s="14">
        <v>44963</v>
      </c>
      <c r="F54" s="6">
        <v>53</v>
      </c>
      <c r="G54" s="6">
        <v>110150</v>
      </c>
      <c r="H54" s="12" t="s">
        <v>50</v>
      </c>
      <c r="I54" s="12" t="s">
        <v>51</v>
      </c>
      <c r="J54" s="12" t="s">
        <v>155</v>
      </c>
      <c r="K54" s="12" t="s">
        <v>172</v>
      </c>
      <c r="L54" s="12" t="s">
        <v>215</v>
      </c>
      <c r="M54" s="13">
        <v>182040</v>
      </c>
      <c r="N54" s="1"/>
      <c r="O54" s="1"/>
      <c r="Q54" s="5"/>
    </row>
    <row r="55" spans="1:17" s="4" customFormat="1" ht="75" x14ac:dyDescent="0.25">
      <c r="A55" s="12" t="str">
        <f>HYPERLINK("https://my.zakupki.prom.ua/remote/dispatcher/state_purchase_view/40718302", "UA-2023-02-08-015321-a")</f>
        <v>UA-2023-02-08-015321-a</v>
      </c>
      <c r="B55" s="12" t="s">
        <v>39</v>
      </c>
      <c r="C55" s="12" t="s">
        <v>42</v>
      </c>
      <c r="D55" s="13" t="s">
        <v>225</v>
      </c>
      <c r="E55" s="14">
        <v>44965</v>
      </c>
      <c r="F55" s="6">
        <v>54</v>
      </c>
      <c r="G55" s="6">
        <v>110150</v>
      </c>
      <c r="H55" s="12" t="s">
        <v>50</v>
      </c>
      <c r="I55" s="12" t="s">
        <v>51</v>
      </c>
      <c r="J55" s="12" t="s">
        <v>89</v>
      </c>
      <c r="K55" s="12" t="s">
        <v>90</v>
      </c>
      <c r="L55" s="12" t="s">
        <v>60</v>
      </c>
      <c r="M55" s="13">
        <v>47219.06</v>
      </c>
      <c r="N55" s="1"/>
      <c r="O55" s="1"/>
      <c r="Q55" s="5"/>
    </row>
    <row r="56" spans="1:17" s="4" customFormat="1" ht="90" x14ac:dyDescent="0.25">
      <c r="A56" s="12" t="str">
        <f>HYPERLINK("https://my.zakupki.prom.ua/remote/dispatcher/state_purchase_view/40718737", "UA-2023-02-08-015568-a")</f>
        <v>UA-2023-02-08-015568-a</v>
      </c>
      <c r="B56" s="12" t="s">
        <v>30</v>
      </c>
      <c r="C56" s="12" t="s">
        <v>41</v>
      </c>
      <c r="D56" s="13" t="s">
        <v>225</v>
      </c>
      <c r="E56" s="14">
        <v>44965</v>
      </c>
      <c r="F56" s="6">
        <v>55</v>
      </c>
      <c r="G56" s="6">
        <v>110150</v>
      </c>
      <c r="H56" s="12" t="s">
        <v>50</v>
      </c>
      <c r="I56" s="12" t="s">
        <v>51</v>
      </c>
      <c r="J56" s="12" t="s">
        <v>81</v>
      </c>
      <c r="K56" s="12" t="s">
        <v>82</v>
      </c>
      <c r="L56" s="12" t="s">
        <v>58</v>
      </c>
      <c r="M56" s="13">
        <v>4000</v>
      </c>
      <c r="N56" s="1"/>
      <c r="O56" s="1"/>
      <c r="Q56" s="5"/>
    </row>
    <row r="57" spans="1:17" s="4" customFormat="1" ht="90" x14ac:dyDescent="0.25">
      <c r="A57" s="12" t="str">
        <f>HYPERLINK("https://my.zakupki.prom.ua/remote/dispatcher/state_purchase_view/40719295", "UA-2023-02-08-015829-a")</f>
        <v>UA-2023-02-08-015829-a</v>
      </c>
      <c r="B57" s="12" t="s">
        <v>30</v>
      </c>
      <c r="C57" s="12" t="s">
        <v>103</v>
      </c>
      <c r="D57" s="13" t="s">
        <v>225</v>
      </c>
      <c r="E57" s="14">
        <v>44965</v>
      </c>
      <c r="F57" s="6">
        <v>56</v>
      </c>
      <c r="G57" s="6">
        <v>110150</v>
      </c>
      <c r="H57" s="12" t="s">
        <v>50</v>
      </c>
      <c r="I57" s="12" t="s">
        <v>51</v>
      </c>
      <c r="J57" s="12" t="s">
        <v>143</v>
      </c>
      <c r="K57" s="12" t="s">
        <v>158</v>
      </c>
      <c r="L57" s="12" t="s">
        <v>176</v>
      </c>
      <c r="M57" s="13">
        <v>4410</v>
      </c>
      <c r="N57" s="1"/>
      <c r="O57" s="1"/>
      <c r="Q57" s="5"/>
    </row>
    <row r="58" spans="1:17" s="4" customFormat="1" ht="60" x14ac:dyDescent="0.25">
      <c r="A58" s="17" t="s">
        <v>289</v>
      </c>
      <c r="B58" s="19"/>
      <c r="C58" s="19"/>
      <c r="D58" s="6"/>
      <c r="E58" s="20">
        <v>44973</v>
      </c>
      <c r="F58" s="6">
        <v>57</v>
      </c>
      <c r="G58" s="6">
        <v>117693</v>
      </c>
      <c r="H58" s="12" t="s">
        <v>50</v>
      </c>
      <c r="I58" s="12" t="s">
        <v>51</v>
      </c>
      <c r="J58" s="19"/>
      <c r="K58" s="19"/>
      <c r="L58" s="19"/>
      <c r="M58" s="21"/>
      <c r="N58" s="1"/>
      <c r="O58" s="1"/>
      <c r="Q58" s="5"/>
    </row>
    <row r="59" spans="1:17" s="4" customFormat="1" ht="90" x14ac:dyDescent="0.25">
      <c r="A59" s="17" t="s">
        <v>290</v>
      </c>
      <c r="B59" s="19"/>
      <c r="C59" s="19"/>
      <c r="D59" s="6"/>
      <c r="E59" s="20">
        <v>44974</v>
      </c>
      <c r="F59" s="6">
        <v>58</v>
      </c>
      <c r="G59" s="6">
        <v>110150</v>
      </c>
      <c r="H59" s="12" t="s">
        <v>50</v>
      </c>
      <c r="I59" s="12" t="s">
        <v>51</v>
      </c>
      <c r="J59" s="19">
        <v>820172</v>
      </c>
      <c r="K59" s="19" t="s">
        <v>291</v>
      </c>
      <c r="L59" s="19"/>
      <c r="M59" s="21">
        <v>80000</v>
      </c>
      <c r="N59" s="1"/>
      <c r="O59" s="1"/>
      <c r="Q59" s="5"/>
    </row>
    <row r="60" spans="1:17" s="4" customFormat="1" ht="90" x14ac:dyDescent="0.25">
      <c r="A60" s="17" t="str">
        <f>HYPERLINK("https://my.zakupki.prom.ua/remote/dispatcher/state_purchase_view/41030083", "UA-2023-02-22-009806-a")</f>
        <v>UA-2023-02-22-009806-a</v>
      </c>
      <c r="B60" s="17" t="s">
        <v>13</v>
      </c>
      <c r="C60" s="17" t="s">
        <v>259</v>
      </c>
      <c r="D60" s="13" t="s">
        <v>225</v>
      </c>
      <c r="E60" s="22">
        <v>44978</v>
      </c>
      <c r="F60" s="23">
        <v>59</v>
      </c>
      <c r="G60" s="17">
        <v>117693</v>
      </c>
      <c r="H60" s="17" t="s">
        <v>50</v>
      </c>
      <c r="I60" s="17" t="s">
        <v>51</v>
      </c>
      <c r="J60" s="23">
        <v>35648513</v>
      </c>
      <c r="K60" s="17" t="s">
        <v>269</v>
      </c>
      <c r="L60" s="17" t="s">
        <v>287</v>
      </c>
      <c r="M60" s="18">
        <v>84960</v>
      </c>
      <c r="N60" s="1"/>
      <c r="O60" s="1"/>
      <c r="Q60" s="5"/>
    </row>
    <row r="61" spans="1:17" s="4" customFormat="1" ht="60" x14ac:dyDescent="0.25">
      <c r="A61" s="17" t="str">
        <f>HYPERLINK("https://my.zakupki.prom.ua/remote/dispatcher/state_purchase_view/41060745", "UA-2023-02-23-009838-a")</f>
        <v>UA-2023-02-23-009838-a</v>
      </c>
      <c r="B61" s="17" t="s">
        <v>239</v>
      </c>
      <c r="C61" s="17" t="s">
        <v>258</v>
      </c>
      <c r="D61" s="24" t="s">
        <v>295</v>
      </c>
      <c r="E61" s="22">
        <v>44979</v>
      </c>
      <c r="F61" s="23">
        <v>60</v>
      </c>
      <c r="G61" s="17">
        <v>118230</v>
      </c>
      <c r="H61" s="17" t="s">
        <v>50</v>
      </c>
      <c r="I61" s="17" t="s">
        <v>51</v>
      </c>
      <c r="J61" s="23">
        <v>32490244</v>
      </c>
      <c r="K61" s="17" t="s">
        <v>268</v>
      </c>
      <c r="L61" s="17" t="s">
        <v>286</v>
      </c>
      <c r="M61" s="18">
        <v>3500.03</v>
      </c>
      <c r="N61" s="1"/>
      <c r="O61" s="1"/>
      <c r="Q61" s="5"/>
    </row>
    <row r="62" spans="1:17" s="4" customFormat="1" ht="60" x14ac:dyDescent="0.25">
      <c r="A62" s="17" t="str">
        <f>HYPERLINK("https://my.zakupki.prom.ua/remote/dispatcher/state_purchase_view/41061347", "UA-2023-02-23-010101-a")</f>
        <v>UA-2023-02-23-010101-a</v>
      </c>
      <c r="B62" s="17" t="s">
        <v>28</v>
      </c>
      <c r="C62" s="17" t="s">
        <v>257</v>
      </c>
      <c r="D62" s="24" t="s">
        <v>295</v>
      </c>
      <c r="E62" s="22">
        <v>44979</v>
      </c>
      <c r="F62" s="23">
        <v>61</v>
      </c>
      <c r="G62" s="17">
        <v>118230</v>
      </c>
      <c r="H62" s="17" t="s">
        <v>50</v>
      </c>
      <c r="I62" s="17" t="s">
        <v>51</v>
      </c>
      <c r="J62" s="23">
        <v>32490244</v>
      </c>
      <c r="K62" s="17" t="s">
        <v>268</v>
      </c>
      <c r="L62" s="17" t="s">
        <v>285</v>
      </c>
      <c r="M62" s="18">
        <v>54022.92</v>
      </c>
      <c r="N62" s="1"/>
      <c r="O62" s="1"/>
      <c r="Q62" s="5"/>
    </row>
    <row r="63" spans="1:17" s="4" customFormat="1" ht="60" x14ac:dyDescent="0.25">
      <c r="A63" s="17" t="str">
        <f>HYPERLINK("https://my.zakupki.prom.ua/remote/dispatcher/state_purchase_view/41061502", "UA-2023-02-23-010217-a")</f>
        <v>UA-2023-02-23-010217-a</v>
      </c>
      <c r="B63" s="17" t="s">
        <v>238</v>
      </c>
      <c r="C63" s="17" t="s">
        <v>256</v>
      </c>
      <c r="D63" s="24" t="s">
        <v>295</v>
      </c>
      <c r="E63" s="22">
        <v>44979</v>
      </c>
      <c r="F63" s="23">
        <v>62</v>
      </c>
      <c r="G63" s="17">
        <v>118230</v>
      </c>
      <c r="H63" s="17" t="s">
        <v>50</v>
      </c>
      <c r="I63" s="17" t="s">
        <v>51</v>
      </c>
      <c r="J63" s="23">
        <v>32490244</v>
      </c>
      <c r="K63" s="17" t="s">
        <v>268</v>
      </c>
      <c r="L63" s="17" t="s">
        <v>284</v>
      </c>
      <c r="M63" s="18">
        <v>8131.2</v>
      </c>
      <c r="N63" s="1"/>
      <c r="O63" s="1"/>
      <c r="Q63" s="5"/>
    </row>
    <row r="64" spans="1:17" s="4" customFormat="1" ht="210" x14ac:dyDescent="0.25">
      <c r="A64" s="17" t="str">
        <f>HYPERLINK("https://my.zakupki.prom.ua/remote/dispatcher/state_purchase_view/40344132", "UA-2023-01-25-016081-a")</f>
        <v>UA-2023-01-25-016081-a</v>
      </c>
      <c r="B64" s="17" t="s">
        <v>39</v>
      </c>
      <c r="C64" s="17" t="s">
        <v>260</v>
      </c>
      <c r="D64" s="13" t="s">
        <v>225</v>
      </c>
      <c r="E64" s="22">
        <v>44979</v>
      </c>
      <c r="F64" s="23">
        <v>63</v>
      </c>
      <c r="G64" s="25">
        <v>110150</v>
      </c>
      <c r="H64" s="17"/>
      <c r="I64" s="17"/>
      <c r="J64" s="23">
        <v>14333937</v>
      </c>
      <c r="K64" s="17" t="s">
        <v>270</v>
      </c>
      <c r="L64" s="17" t="s">
        <v>288</v>
      </c>
      <c r="M64" s="18">
        <v>9900</v>
      </c>
      <c r="N64" s="1"/>
      <c r="O64" s="1"/>
      <c r="Q64" s="5"/>
    </row>
    <row r="65" spans="1:15" ht="60" x14ac:dyDescent="0.25">
      <c r="A65" s="17" t="str">
        <f>HYPERLINK("https://my.zakupki.prom.ua/remote/dispatcher/state_purchase_view/41146574", "UA-2023-03-01-001827-a")</f>
        <v>UA-2023-03-01-001827-a</v>
      </c>
      <c r="B65" s="17" t="s">
        <v>20</v>
      </c>
      <c r="C65" s="17" t="s">
        <v>136</v>
      </c>
      <c r="D65" s="24" t="s">
        <v>295</v>
      </c>
      <c r="E65" s="22">
        <v>44980</v>
      </c>
      <c r="F65" s="23">
        <v>64</v>
      </c>
      <c r="G65" s="17">
        <v>110150</v>
      </c>
      <c r="H65" s="17" t="s">
        <v>50</v>
      </c>
      <c r="I65" s="17" t="s">
        <v>51</v>
      </c>
      <c r="J65" s="23">
        <v>2440503412</v>
      </c>
      <c r="K65" s="17" t="s">
        <v>68</v>
      </c>
      <c r="L65" s="17" t="s">
        <v>282</v>
      </c>
      <c r="M65" s="18">
        <v>120</v>
      </c>
      <c r="N65" s="1"/>
      <c r="O65" s="1"/>
    </row>
    <row r="66" spans="1:15" ht="75" x14ac:dyDescent="0.25">
      <c r="A66" s="17" t="str">
        <f>HYPERLINK("https://my.zakupki.prom.ua/remote/dispatcher/state_purchase_view/41141628", "UA-2023-02-28-009731-a")</f>
        <v>UA-2023-02-28-009731-a</v>
      </c>
      <c r="B66" s="17" t="s">
        <v>56</v>
      </c>
      <c r="C66" s="17" t="s">
        <v>255</v>
      </c>
      <c r="D66" s="24" t="s">
        <v>295</v>
      </c>
      <c r="E66" s="22">
        <v>44980</v>
      </c>
      <c r="F66" s="23">
        <v>65</v>
      </c>
      <c r="G66" s="17">
        <v>118230</v>
      </c>
      <c r="H66" s="17" t="s">
        <v>50</v>
      </c>
      <c r="I66" s="17" t="s">
        <v>51</v>
      </c>
      <c r="J66" s="23">
        <v>2243023404</v>
      </c>
      <c r="K66" s="17" t="s">
        <v>84</v>
      </c>
      <c r="L66" s="17" t="s">
        <v>283</v>
      </c>
      <c r="M66" s="18">
        <v>149400</v>
      </c>
      <c r="N66" s="1"/>
      <c r="O66" s="1"/>
    </row>
    <row r="67" spans="1:15" ht="75" x14ac:dyDescent="0.25">
      <c r="A67" s="17" t="str">
        <f>HYPERLINK("https://my.zakupki.prom.ua/remote/dispatcher/state_purchase_view/41162077", "UA-2023-03-01-008796-a")</f>
        <v>UA-2023-03-01-008796-a</v>
      </c>
      <c r="B67" s="17" t="s">
        <v>28</v>
      </c>
      <c r="C67" s="17" t="s">
        <v>252</v>
      </c>
      <c r="D67" s="24" t="s">
        <v>295</v>
      </c>
      <c r="E67" s="22">
        <v>44980</v>
      </c>
      <c r="F67" s="23">
        <v>66</v>
      </c>
      <c r="G67" s="17">
        <v>118230</v>
      </c>
      <c r="H67" s="17" t="s">
        <v>50</v>
      </c>
      <c r="I67" s="17" t="s">
        <v>51</v>
      </c>
      <c r="J67" s="23">
        <v>41647706</v>
      </c>
      <c r="K67" s="17" t="s">
        <v>264</v>
      </c>
      <c r="L67" s="17" t="s">
        <v>182</v>
      </c>
      <c r="M67" s="18">
        <v>373544.68</v>
      </c>
      <c r="N67" s="1"/>
      <c r="O67" s="1"/>
    </row>
    <row r="68" spans="1:15" ht="75" x14ac:dyDescent="0.25">
      <c r="A68" s="17" t="str">
        <f>HYPERLINK("https://my.zakupki.prom.ua/remote/dispatcher/state_purchase_view/41160875", "UA-2023-03-01-008340-a")</f>
        <v>UA-2023-03-01-008340-a</v>
      </c>
      <c r="B68" s="17" t="s">
        <v>28</v>
      </c>
      <c r="C68" s="17" t="s">
        <v>253</v>
      </c>
      <c r="D68" s="24" t="s">
        <v>295</v>
      </c>
      <c r="E68" s="22">
        <v>44980</v>
      </c>
      <c r="F68" s="23">
        <v>67</v>
      </c>
      <c r="G68" s="17">
        <v>118230</v>
      </c>
      <c r="H68" s="17" t="s">
        <v>50</v>
      </c>
      <c r="I68" s="17" t="s">
        <v>51</v>
      </c>
      <c r="J68" s="23">
        <v>41647706</v>
      </c>
      <c r="K68" s="17" t="s">
        <v>264</v>
      </c>
      <c r="L68" s="17" t="s">
        <v>182</v>
      </c>
      <c r="M68" s="18">
        <v>371495.28</v>
      </c>
      <c r="N68" s="1"/>
      <c r="O68" s="1"/>
    </row>
    <row r="69" spans="1:15" ht="180" x14ac:dyDescent="0.25">
      <c r="A69" s="17" t="str">
        <f>HYPERLINK("https://my.zakupki.prom.ua/remote/dispatcher/state_purchase_view/41147638", "UA-2023-03-01-002347-a")</f>
        <v>UA-2023-03-01-002347-a</v>
      </c>
      <c r="B69" s="17" t="s">
        <v>237</v>
      </c>
      <c r="C69" s="17" t="s">
        <v>254</v>
      </c>
      <c r="D69" s="13" t="s">
        <v>225</v>
      </c>
      <c r="E69" s="22">
        <v>44980</v>
      </c>
      <c r="F69" s="23">
        <v>68</v>
      </c>
      <c r="G69" s="17">
        <v>118230</v>
      </c>
      <c r="H69" s="17" t="s">
        <v>50</v>
      </c>
      <c r="I69" s="17" t="s">
        <v>51</v>
      </c>
      <c r="J69" s="23">
        <v>31430142</v>
      </c>
      <c r="K69" s="17" t="s">
        <v>267</v>
      </c>
      <c r="L69" s="17" t="s">
        <v>281</v>
      </c>
      <c r="M69" s="18">
        <v>147912</v>
      </c>
      <c r="N69" s="1"/>
      <c r="O69" s="1"/>
    </row>
    <row r="70" spans="1:15" s="4" customFormat="1" ht="75" x14ac:dyDescent="0.25">
      <c r="A70" s="17" t="str">
        <f>HYPERLINK("https://my.zakupki.prom.ua/remote/dispatcher/state_purchase_view/41166410", "UA-2023-03-01-010846-a")</f>
        <v>UA-2023-03-01-010846-a</v>
      </c>
      <c r="B70" s="17" t="s">
        <v>34</v>
      </c>
      <c r="C70" s="17" t="s">
        <v>251</v>
      </c>
      <c r="D70" s="24" t="s">
        <v>295</v>
      </c>
      <c r="E70" s="22">
        <v>44980</v>
      </c>
      <c r="F70" s="23">
        <v>69</v>
      </c>
      <c r="G70" s="17">
        <v>110150</v>
      </c>
      <c r="H70" s="17" t="s">
        <v>50</v>
      </c>
      <c r="I70" s="17" t="s">
        <v>51</v>
      </c>
      <c r="J70" s="23">
        <v>2440503412</v>
      </c>
      <c r="K70" s="17" t="s">
        <v>68</v>
      </c>
      <c r="L70" s="17" t="s">
        <v>280</v>
      </c>
      <c r="M70" s="18">
        <v>3360</v>
      </c>
      <c r="N70" s="1"/>
      <c r="O70" s="1"/>
    </row>
    <row r="71" spans="1:15" s="4" customFormat="1" ht="90" x14ac:dyDescent="0.25">
      <c r="A71" s="17" t="str">
        <f>HYPERLINK("https://my.zakupki.prom.ua/remote/dispatcher/state_purchase_view/41166848", "UA-2023-03-01-011038-a")</f>
        <v>UA-2023-03-01-011038-a</v>
      </c>
      <c r="B71" s="17" t="s">
        <v>33</v>
      </c>
      <c r="C71" s="17" t="s">
        <v>250</v>
      </c>
      <c r="D71" s="24" t="s">
        <v>295</v>
      </c>
      <c r="E71" s="22">
        <v>44980</v>
      </c>
      <c r="F71" s="23">
        <v>70</v>
      </c>
      <c r="G71" s="17">
        <v>110150</v>
      </c>
      <c r="H71" s="17" t="s">
        <v>50</v>
      </c>
      <c r="I71" s="17" t="s">
        <v>51</v>
      </c>
      <c r="J71" s="23">
        <v>2440503412</v>
      </c>
      <c r="K71" s="17" t="s">
        <v>68</v>
      </c>
      <c r="L71" s="17" t="s">
        <v>210</v>
      </c>
      <c r="M71" s="18">
        <v>2500</v>
      </c>
      <c r="N71" s="1"/>
      <c r="O71" s="1"/>
    </row>
    <row r="72" spans="1:15" s="4" customFormat="1" ht="75" x14ac:dyDescent="0.25">
      <c r="A72" s="17" t="str">
        <f>HYPERLINK("https://my.zakupki.prom.ua/remote/dispatcher/state_purchase_view/41167214", "UA-2023-03-01-011167-a")</f>
        <v>UA-2023-03-01-011167-a</v>
      </c>
      <c r="B72" s="17" t="s">
        <v>32</v>
      </c>
      <c r="C72" s="17" t="s">
        <v>249</v>
      </c>
      <c r="D72" s="24" t="s">
        <v>295</v>
      </c>
      <c r="E72" s="22">
        <v>44980</v>
      </c>
      <c r="F72" s="23">
        <v>71</v>
      </c>
      <c r="G72" s="17">
        <v>110150</v>
      </c>
      <c r="H72" s="17" t="s">
        <v>50</v>
      </c>
      <c r="I72" s="17" t="s">
        <v>51</v>
      </c>
      <c r="J72" s="23">
        <v>2440503412</v>
      </c>
      <c r="K72" s="17" t="s">
        <v>68</v>
      </c>
      <c r="L72" s="17" t="s">
        <v>279</v>
      </c>
      <c r="M72" s="18">
        <v>1570</v>
      </c>
      <c r="N72" s="1"/>
      <c r="O72" s="1"/>
    </row>
    <row r="73" spans="1:15" s="4" customFormat="1" ht="150" x14ac:dyDescent="0.25">
      <c r="A73" s="17" t="str">
        <f>HYPERLINK("https://my.zakupki.prom.ua/remote/dispatcher/state_purchase_view/41167500", "UA-2023-03-01-011337-a")</f>
        <v>UA-2023-03-01-011337-a</v>
      </c>
      <c r="B73" s="17" t="s">
        <v>37</v>
      </c>
      <c r="C73" s="17" t="s">
        <v>248</v>
      </c>
      <c r="D73" s="24" t="s">
        <v>295</v>
      </c>
      <c r="E73" s="22">
        <v>44980</v>
      </c>
      <c r="F73" s="23">
        <v>72</v>
      </c>
      <c r="G73" s="17">
        <v>110150</v>
      </c>
      <c r="H73" s="17" t="s">
        <v>50</v>
      </c>
      <c r="I73" s="17" t="s">
        <v>51</v>
      </c>
      <c r="J73" s="23">
        <v>2440503412</v>
      </c>
      <c r="K73" s="17" t="s">
        <v>68</v>
      </c>
      <c r="L73" s="17" t="s">
        <v>278</v>
      </c>
      <c r="M73" s="18">
        <v>6450</v>
      </c>
      <c r="N73" s="1"/>
      <c r="O73" s="1"/>
    </row>
    <row r="74" spans="1:15" s="4" customFormat="1" ht="60" x14ac:dyDescent="0.25">
      <c r="A74" s="17" t="str">
        <f>HYPERLINK("https://my.zakupki.prom.ua/remote/dispatcher/state_purchase_view/41181354", "UA-2023-03-02-004667-a")</f>
        <v>UA-2023-03-02-004667-a</v>
      </c>
      <c r="B74" s="17" t="s">
        <v>236</v>
      </c>
      <c r="C74" s="17" t="s">
        <v>247</v>
      </c>
      <c r="D74" s="24" t="s">
        <v>295</v>
      </c>
      <c r="E74" s="22">
        <v>44980</v>
      </c>
      <c r="F74" s="23">
        <v>73</v>
      </c>
      <c r="G74" s="17">
        <v>118230</v>
      </c>
      <c r="H74" s="17" t="s">
        <v>50</v>
      </c>
      <c r="I74" s="17" t="s">
        <v>51</v>
      </c>
      <c r="J74" s="23">
        <v>34350636</v>
      </c>
      <c r="K74" s="17" t="s">
        <v>266</v>
      </c>
      <c r="L74" s="17" t="s">
        <v>277</v>
      </c>
      <c r="M74" s="18">
        <v>1339.2</v>
      </c>
      <c r="N74" s="1"/>
      <c r="O74" s="1"/>
    </row>
    <row r="75" spans="1:15" s="4" customFormat="1" ht="105" x14ac:dyDescent="0.25">
      <c r="A75" s="17" t="str">
        <f>HYPERLINK("https://my.zakupki.prom.ua/remote/dispatcher/state_purchase_view/41182040", "UA-2023-03-02-004986-a")</f>
        <v>UA-2023-03-02-004986-a</v>
      </c>
      <c r="B75" s="17" t="s">
        <v>235</v>
      </c>
      <c r="C75" s="17" t="s">
        <v>246</v>
      </c>
      <c r="D75" s="24" t="s">
        <v>295</v>
      </c>
      <c r="E75" s="22">
        <v>44980</v>
      </c>
      <c r="F75" s="23">
        <v>74</v>
      </c>
      <c r="G75" s="17">
        <v>118230</v>
      </c>
      <c r="H75" s="17" t="s">
        <v>50</v>
      </c>
      <c r="I75" s="17" t="s">
        <v>51</v>
      </c>
      <c r="J75" s="23">
        <v>2806815091</v>
      </c>
      <c r="K75" s="17" t="s">
        <v>92</v>
      </c>
      <c r="L75" s="17" t="s">
        <v>276</v>
      </c>
      <c r="M75" s="18">
        <v>86130</v>
      </c>
      <c r="N75" s="1"/>
      <c r="O75" s="1"/>
    </row>
    <row r="76" spans="1:15" s="4" customFormat="1" ht="60" x14ac:dyDescent="0.25">
      <c r="A76" s="17" t="str">
        <f>HYPERLINK("https://my.zakupki.prom.ua/remote/dispatcher/state_purchase_view/41186817", "UA-2023-03-02-007177-a")</f>
        <v>UA-2023-03-02-007177-a</v>
      </c>
      <c r="B76" s="17" t="s">
        <v>234</v>
      </c>
      <c r="C76" s="17" t="s">
        <v>245</v>
      </c>
      <c r="D76" s="24" t="s">
        <v>295</v>
      </c>
      <c r="E76" s="22">
        <v>44980</v>
      </c>
      <c r="F76" s="23">
        <v>75</v>
      </c>
      <c r="G76" s="17">
        <v>118230</v>
      </c>
      <c r="H76" s="17" t="s">
        <v>50</v>
      </c>
      <c r="I76" s="17" t="s">
        <v>51</v>
      </c>
      <c r="J76" s="23">
        <v>907438</v>
      </c>
      <c r="K76" s="17" t="s">
        <v>265</v>
      </c>
      <c r="L76" s="17" t="s">
        <v>275</v>
      </c>
      <c r="M76" s="18">
        <v>23928.94</v>
      </c>
      <c r="N76" s="1"/>
      <c r="O76" s="1"/>
    </row>
    <row r="77" spans="1:15" s="4" customFormat="1" ht="63.75" customHeight="1" x14ac:dyDescent="0.25">
      <c r="A77" s="17" t="str">
        <f>HYPERLINK("https://my.zakupki.prom.ua/remote/dispatcher/state_purchase_view/41187513", "UA-2023-03-02-007524-a")</f>
        <v>UA-2023-03-02-007524-a</v>
      </c>
      <c r="B77" s="17" t="s">
        <v>28</v>
      </c>
      <c r="C77" s="17" t="s">
        <v>244</v>
      </c>
      <c r="D77" s="24" t="s">
        <v>295</v>
      </c>
      <c r="E77" s="22">
        <v>44980</v>
      </c>
      <c r="F77" s="23">
        <v>76</v>
      </c>
      <c r="G77" s="17">
        <v>118230</v>
      </c>
      <c r="H77" s="17" t="s">
        <v>50</v>
      </c>
      <c r="I77" s="17" t="s">
        <v>51</v>
      </c>
      <c r="J77" s="23">
        <v>41647706</v>
      </c>
      <c r="K77" s="17" t="s">
        <v>264</v>
      </c>
      <c r="L77" s="17" t="s">
        <v>182</v>
      </c>
      <c r="M77" s="18">
        <v>32491.73</v>
      </c>
      <c r="N77" s="1"/>
      <c r="O77" s="1"/>
    </row>
    <row r="78" spans="1:15" s="4" customFormat="1" ht="55.5" customHeight="1" x14ac:dyDescent="0.25">
      <c r="A78" s="17" t="str">
        <f>HYPERLINK("https://my.zakupki.prom.ua/remote/dispatcher/state_purchase_view/41188168", "UA-2023-03-02-007800-a")</f>
        <v>UA-2023-03-02-007800-a</v>
      </c>
      <c r="B78" s="17" t="s">
        <v>233</v>
      </c>
      <c r="C78" s="17" t="s">
        <v>243</v>
      </c>
      <c r="D78" s="24" t="s">
        <v>295</v>
      </c>
      <c r="E78" s="22">
        <v>44980</v>
      </c>
      <c r="F78" s="23">
        <v>77</v>
      </c>
      <c r="G78" s="17">
        <v>118230</v>
      </c>
      <c r="H78" s="17" t="s">
        <v>50</v>
      </c>
      <c r="I78" s="17" t="s">
        <v>51</v>
      </c>
      <c r="J78" s="23">
        <v>2368016603</v>
      </c>
      <c r="K78" s="17" t="s">
        <v>263</v>
      </c>
      <c r="L78" s="17" t="s">
        <v>274</v>
      </c>
      <c r="M78" s="18">
        <v>114221.02</v>
      </c>
      <c r="N78" s="1"/>
      <c r="O78" s="1"/>
    </row>
    <row r="79" spans="1:15" s="4" customFormat="1" ht="156.75" customHeight="1" x14ac:dyDescent="0.25">
      <c r="A79" s="17" t="str">
        <f>HYPERLINK("https://my.zakupki.prom.ua/remote/dispatcher/state_purchase_view/41190053", "UA-2023-03-02-008607-a")</f>
        <v>UA-2023-03-02-008607-a</v>
      </c>
      <c r="B79" s="17" t="s">
        <v>28</v>
      </c>
      <c r="C79" s="17" t="s">
        <v>242</v>
      </c>
      <c r="D79" s="24" t="s">
        <v>295</v>
      </c>
      <c r="E79" s="22">
        <v>44980</v>
      </c>
      <c r="F79" s="23">
        <v>78</v>
      </c>
      <c r="G79" s="17">
        <v>118230</v>
      </c>
      <c r="H79" s="17" t="s">
        <v>50</v>
      </c>
      <c r="I79" s="17" t="s">
        <v>51</v>
      </c>
      <c r="J79" s="23">
        <v>3123704977</v>
      </c>
      <c r="K79" s="17" t="s">
        <v>262</v>
      </c>
      <c r="L79" s="17" t="s">
        <v>273</v>
      </c>
      <c r="M79" s="18">
        <v>87339</v>
      </c>
      <c r="N79" s="1"/>
      <c r="O79" s="1"/>
    </row>
    <row r="80" spans="1:15" s="4" customFormat="1" ht="81" customHeight="1" x14ac:dyDescent="0.25">
      <c r="A80" s="17" t="s">
        <v>293</v>
      </c>
      <c r="B80" s="17" t="s">
        <v>235</v>
      </c>
      <c r="C80" s="17" t="s">
        <v>296</v>
      </c>
      <c r="D80" s="24" t="s">
        <v>295</v>
      </c>
      <c r="E80" s="22">
        <v>44980</v>
      </c>
      <c r="F80" s="23">
        <v>79</v>
      </c>
      <c r="G80" s="17">
        <v>118230</v>
      </c>
      <c r="H80" s="17" t="s">
        <v>50</v>
      </c>
      <c r="I80" s="17" t="s">
        <v>51</v>
      </c>
      <c r="J80" s="23">
        <v>34350636</v>
      </c>
      <c r="K80" s="17" t="s">
        <v>292</v>
      </c>
      <c r="L80" s="17" t="s">
        <v>294</v>
      </c>
      <c r="M80" s="18">
        <v>118180.8</v>
      </c>
      <c r="N80" s="1"/>
      <c r="O80" s="1"/>
    </row>
    <row r="81" spans="1:15" s="4" customFormat="1" ht="98.25" customHeight="1" x14ac:dyDescent="0.25">
      <c r="A81" s="17" t="str">
        <f>HYPERLINK("https://my.zakupki.prom.ua/remote/dispatcher/state_purchase_view/41196140", "UA-2023-03-02-011417-a")</f>
        <v>UA-2023-03-02-011417-a</v>
      </c>
      <c r="B81" s="17" t="s">
        <v>45</v>
      </c>
      <c r="C81" s="17" t="s">
        <v>241</v>
      </c>
      <c r="D81" s="13" t="s">
        <v>225</v>
      </c>
      <c r="E81" s="22">
        <v>44981</v>
      </c>
      <c r="F81" s="23">
        <v>80</v>
      </c>
      <c r="G81" s="17">
        <v>118230</v>
      </c>
      <c r="H81" s="17" t="s">
        <v>50</v>
      </c>
      <c r="I81" s="17" t="s">
        <v>51</v>
      </c>
      <c r="J81" s="23">
        <v>2765203477</v>
      </c>
      <c r="K81" s="17" t="s">
        <v>261</v>
      </c>
      <c r="L81" s="17" t="s">
        <v>272</v>
      </c>
      <c r="M81" s="18">
        <v>391203</v>
      </c>
      <c r="N81" s="1"/>
      <c r="O81" s="1"/>
    </row>
    <row r="82" spans="1:15" s="4" customFormat="1" ht="105" x14ac:dyDescent="0.25">
      <c r="A82" s="17" t="str">
        <f>HYPERLINK("https://my.zakupki.prom.ua/remote/dispatcher/state_purchase_view/41196329", "UA-2023-03-02-011531-a")</f>
        <v>UA-2023-03-02-011531-a</v>
      </c>
      <c r="B82" s="17" t="s">
        <v>45</v>
      </c>
      <c r="C82" s="17" t="s">
        <v>240</v>
      </c>
      <c r="D82" s="13" t="s">
        <v>225</v>
      </c>
      <c r="E82" s="22">
        <v>44981</v>
      </c>
      <c r="F82" s="23">
        <v>81</v>
      </c>
      <c r="G82" s="17">
        <v>118230</v>
      </c>
      <c r="H82" s="17" t="s">
        <v>50</v>
      </c>
      <c r="I82" s="17" t="s">
        <v>51</v>
      </c>
      <c r="J82" s="23">
        <v>2765203477</v>
      </c>
      <c r="K82" s="17" t="s">
        <v>261</v>
      </c>
      <c r="L82" s="17" t="s">
        <v>271</v>
      </c>
      <c r="M82" s="18">
        <v>445689</v>
      </c>
      <c r="N82" s="1"/>
      <c r="O82" s="1"/>
    </row>
    <row r="83" spans="1:15" s="4" customFormat="1" ht="150.75" customHeight="1" x14ac:dyDescent="0.25">
      <c r="A83" s="12" t="str">
        <f>HYPERLINK("https://my.zakupki.prom.ua/remote/dispatcher/state_purchase_view/41233553", "UA-2023-03-06-001969-a")</f>
        <v>UA-2023-03-06-001969-a</v>
      </c>
      <c r="B83" s="12" t="s">
        <v>31</v>
      </c>
      <c r="C83" s="12" t="s">
        <v>298</v>
      </c>
      <c r="D83" s="13" t="s">
        <v>225</v>
      </c>
      <c r="E83" s="22">
        <v>44981</v>
      </c>
      <c r="F83" s="6">
        <v>82</v>
      </c>
      <c r="G83" s="28">
        <v>118230</v>
      </c>
      <c r="H83" s="12" t="s">
        <v>50</v>
      </c>
      <c r="I83" s="12" t="s">
        <v>51</v>
      </c>
      <c r="J83" s="12" t="s">
        <v>69</v>
      </c>
      <c r="K83" s="12" t="s">
        <v>70</v>
      </c>
      <c r="L83" s="12" t="s">
        <v>297</v>
      </c>
      <c r="M83" s="13">
        <v>4949.16</v>
      </c>
      <c r="N83" s="1"/>
      <c r="O83" s="1"/>
    </row>
    <row r="84" spans="1:15" s="4" customFormat="1" ht="180" x14ac:dyDescent="0.25">
      <c r="A84" s="12" t="str">
        <f>HYPERLINK("https://my.zakupki.prom.ua/remote/dispatcher/state_purchase_view/41235675", "UA-2023-03-06-002943-a")</f>
        <v>UA-2023-03-06-002943-a</v>
      </c>
      <c r="B84" s="12" t="s">
        <v>31</v>
      </c>
      <c r="C84" s="12" t="s">
        <v>300</v>
      </c>
      <c r="D84" s="13" t="s">
        <v>225</v>
      </c>
      <c r="E84" s="22">
        <v>44981</v>
      </c>
      <c r="F84" s="6">
        <v>83</v>
      </c>
      <c r="G84" s="28">
        <v>118230</v>
      </c>
      <c r="H84" s="12" t="s">
        <v>50</v>
      </c>
      <c r="I84" s="12" t="s">
        <v>51</v>
      </c>
      <c r="J84" s="12" t="s">
        <v>69</v>
      </c>
      <c r="K84" s="12" t="s">
        <v>70</v>
      </c>
      <c r="L84" s="12" t="s">
        <v>299</v>
      </c>
      <c r="M84" s="13">
        <v>5845.55</v>
      </c>
      <c r="N84" s="1"/>
      <c r="O84" s="1"/>
    </row>
    <row r="85" spans="1:15" s="4" customFormat="1" ht="84" customHeight="1" x14ac:dyDescent="0.25">
      <c r="A85" s="12" t="str">
        <f>HYPERLINK("https://my.zakupki.prom.ua/remote/dispatcher/state_purchase_view/41399521", "UA-2023-03-14-007157-a")</f>
        <v>UA-2023-03-14-007157-a</v>
      </c>
      <c r="B85" s="12" t="s">
        <v>303</v>
      </c>
      <c r="C85" s="12" t="s">
        <v>302</v>
      </c>
      <c r="D85" s="13" t="s">
        <v>225</v>
      </c>
      <c r="E85" s="29">
        <v>44991</v>
      </c>
      <c r="F85" s="6">
        <v>84</v>
      </c>
      <c r="G85" s="28">
        <v>110150</v>
      </c>
      <c r="H85" s="12" t="s">
        <v>50</v>
      </c>
      <c r="I85" s="12" t="s">
        <v>51</v>
      </c>
      <c r="J85" s="12" t="s">
        <v>305</v>
      </c>
      <c r="K85" s="12" t="s">
        <v>304</v>
      </c>
      <c r="L85" s="12" t="s">
        <v>301</v>
      </c>
      <c r="M85" s="13">
        <v>40000</v>
      </c>
      <c r="N85" s="1"/>
      <c r="O85" s="1"/>
    </row>
    <row r="86" spans="1:15" s="4" customFormat="1" ht="180" x14ac:dyDescent="0.25">
      <c r="A86" s="12" t="str">
        <f>HYPERLINK("https://my.zakupki.prom.ua/remote/dispatcher/state_purchase_view/40846000", "UA-2023-02-14-010076-a")</f>
        <v>UA-2023-02-14-010076-a</v>
      </c>
      <c r="B86" s="12" t="s">
        <v>308</v>
      </c>
      <c r="C86" s="12" t="s">
        <v>307</v>
      </c>
      <c r="D86" s="13" t="s">
        <v>225</v>
      </c>
      <c r="E86" s="29">
        <v>44991</v>
      </c>
      <c r="F86" s="6">
        <v>85</v>
      </c>
      <c r="G86" s="28">
        <v>116090</v>
      </c>
      <c r="H86" s="12" t="s">
        <v>50</v>
      </c>
      <c r="I86" s="12" t="s">
        <v>51</v>
      </c>
      <c r="J86" s="12" t="s">
        <v>310</v>
      </c>
      <c r="K86" s="12" t="s">
        <v>309</v>
      </c>
      <c r="L86" s="12" t="s">
        <v>306</v>
      </c>
      <c r="M86" s="13">
        <v>210000</v>
      </c>
      <c r="N86" s="1"/>
      <c r="O86" s="1"/>
    </row>
    <row r="87" spans="1:15" s="4" customFormat="1" ht="270" x14ac:dyDescent="0.25">
      <c r="A87" s="12" t="str">
        <f>HYPERLINK("https://my.zakupki.prom.ua/remote/dispatcher/state_purchase_view/41262256", "UA-2023-03-07-002552-a")</f>
        <v>UA-2023-03-07-002552-a</v>
      </c>
      <c r="B87" s="12" t="s">
        <v>313</v>
      </c>
      <c r="C87" s="12" t="s">
        <v>312</v>
      </c>
      <c r="D87" s="13" t="s">
        <v>225</v>
      </c>
      <c r="E87" s="29">
        <v>44991</v>
      </c>
      <c r="F87" s="6">
        <v>86</v>
      </c>
      <c r="G87" s="28">
        <v>110150</v>
      </c>
      <c r="H87" s="12" t="s">
        <v>50</v>
      </c>
      <c r="I87" s="12" t="s">
        <v>51</v>
      </c>
      <c r="J87" s="12" t="s">
        <v>315</v>
      </c>
      <c r="K87" s="12" t="s">
        <v>314</v>
      </c>
      <c r="L87" s="12" t="s">
        <v>311</v>
      </c>
      <c r="M87" s="13">
        <v>96650</v>
      </c>
      <c r="N87" s="1"/>
      <c r="O87" s="1"/>
    </row>
    <row r="88" spans="1:15" s="4" customFormat="1" ht="105" x14ac:dyDescent="0.25">
      <c r="A88" s="12" t="str">
        <f>HYPERLINK("https://my.zakupki.prom.ua/remote/dispatcher/state_purchase_view/41259318", "UA-2023-03-07-001188-a")</f>
        <v>UA-2023-03-07-001188-a</v>
      </c>
      <c r="B88" s="12" t="s">
        <v>318</v>
      </c>
      <c r="C88" s="12" t="s">
        <v>317</v>
      </c>
      <c r="D88" s="30" t="s">
        <v>432</v>
      </c>
      <c r="E88" s="29">
        <v>44991</v>
      </c>
      <c r="F88" s="6">
        <v>87</v>
      </c>
      <c r="G88" s="56">
        <v>110180</v>
      </c>
      <c r="H88" s="12" t="s">
        <v>50</v>
      </c>
      <c r="I88" s="12" t="s">
        <v>51</v>
      </c>
      <c r="J88" s="12" t="s">
        <v>320</v>
      </c>
      <c r="K88" s="12" t="s">
        <v>319</v>
      </c>
      <c r="L88" s="12" t="s">
        <v>316</v>
      </c>
      <c r="M88" s="13">
        <v>74000</v>
      </c>
      <c r="N88" s="1"/>
      <c r="O88" s="1"/>
    </row>
    <row r="89" spans="1:15" s="4" customFormat="1" ht="90" x14ac:dyDescent="0.25">
      <c r="A89" s="12" t="str">
        <f>HYPERLINK("https://my.zakupki.prom.ua/remote/dispatcher/state_purchase_view/41311020", "UA-2023-03-09-003868-a")</f>
        <v>UA-2023-03-09-003868-a</v>
      </c>
      <c r="B89" s="12" t="s">
        <v>30</v>
      </c>
      <c r="C89" s="12" t="s">
        <v>103</v>
      </c>
      <c r="D89" s="13" t="s">
        <v>225</v>
      </c>
      <c r="E89" s="29">
        <v>44993</v>
      </c>
      <c r="F89" s="6">
        <v>88</v>
      </c>
      <c r="G89" s="56">
        <v>110180</v>
      </c>
      <c r="H89" s="12" t="s">
        <v>50</v>
      </c>
      <c r="I89" s="12" t="s">
        <v>51</v>
      </c>
      <c r="J89" s="12" t="s">
        <v>143</v>
      </c>
      <c r="K89" s="12" t="s">
        <v>158</v>
      </c>
      <c r="L89" s="12" t="s">
        <v>176</v>
      </c>
      <c r="M89" s="13">
        <v>31270</v>
      </c>
      <c r="N89" s="1"/>
      <c r="O89" s="1"/>
    </row>
    <row r="90" spans="1:15" s="4" customFormat="1" ht="75" x14ac:dyDescent="0.25">
      <c r="A90" s="12" t="str">
        <f>HYPERLINK("https://my.zakupki.prom.ua/remote/dispatcher/state_purchase_view/41332959", "UA-2023-03-10-002178-a")</f>
        <v>UA-2023-03-10-002178-a</v>
      </c>
      <c r="B90" s="12" t="s">
        <v>52</v>
      </c>
      <c r="C90" s="12" t="s">
        <v>322</v>
      </c>
      <c r="D90" s="13" t="s">
        <v>223</v>
      </c>
      <c r="E90" s="29">
        <v>44993</v>
      </c>
      <c r="F90" s="6">
        <v>89</v>
      </c>
      <c r="G90" s="28">
        <v>110150</v>
      </c>
      <c r="H90" s="12" t="s">
        <v>50</v>
      </c>
      <c r="I90" s="12" t="s">
        <v>51</v>
      </c>
      <c r="J90" s="12" t="s">
        <v>324</v>
      </c>
      <c r="K90" s="12" t="s">
        <v>323</v>
      </c>
      <c r="L90" s="12" t="s">
        <v>321</v>
      </c>
      <c r="M90" s="13">
        <v>25350</v>
      </c>
      <c r="N90" s="1"/>
      <c r="O90" s="1"/>
    </row>
    <row r="91" spans="1:15" ht="177" customHeight="1" x14ac:dyDescent="0.25">
      <c r="A91" s="12" t="str">
        <f>HYPERLINK("https://my.zakupki.prom.ua/remote/dispatcher/state_purchase_view/41349229", "UA-2023-03-10-009382-a")</f>
        <v>UA-2023-03-10-009382-a</v>
      </c>
      <c r="B91" s="12" t="s">
        <v>327</v>
      </c>
      <c r="C91" s="12" t="s">
        <v>326</v>
      </c>
      <c r="D91" s="13" t="s">
        <v>223</v>
      </c>
      <c r="E91" s="29">
        <v>44993</v>
      </c>
      <c r="F91" s="6">
        <v>90</v>
      </c>
      <c r="G91" s="28">
        <v>118230</v>
      </c>
      <c r="H91" s="12" t="s">
        <v>50</v>
      </c>
      <c r="I91" s="12" t="s">
        <v>51</v>
      </c>
      <c r="J91" s="12" t="s">
        <v>329</v>
      </c>
      <c r="K91" s="12" t="s">
        <v>328</v>
      </c>
      <c r="L91" s="12" t="s">
        <v>325</v>
      </c>
      <c r="M91" s="13">
        <v>60171.54</v>
      </c>
      <c r="N91" s="1"/>
      <c r="O91" s="1"/>
    </row>
    <row r="92" spans="1:15" ht="255" x14ac:dyDescent="0.25">
      <c r="A92" s="12" t="str">
        <f>HYPERLINK("https://my.zakupki.prom.ua/remote/dispatcher/state_purchase_view/41350021", "UA-2023-03-10-009812-a")</f>
        <v>UA-2023-03-10-009812-a</v>
      </c>
      <c r="B92" s="12" t="s">
        <v>332</v>
      </c>
      <c r="C92" s="12" t="s">
        <v>331</v>
      </c>
      <c r="D92" s="13" t="s">
        <v>845</v>
      </c>
      <c r="E92" s="29">
        <v>44994</v>
      </c>
      <c r="F92" s="6">
        <v>91</v>
      </c>
      <c r="G92" s="28">
        <v>118230</v>
      </c>
      <c r="H92" s="12" t="s">
        <v>50</v>
      </c>
      <c r="I92" s="12" t="s">
        <v>51</v>
      </c>
      <c r="J92" s="12" t="s">
        <v>334</v>
      </c>
      <c r="K92" s="12" t="s">
        <v>333</v>
      </c>
      <c r="L92" s="12" t="s">
        <v>330</v>
      </c>
      <c r="M92" s="13">
        <v>2080330</v>
      </c>
      <c r="N92" s="1"/>
      <c r="O92" s="1"/>
    </row>
    <row r="93" spans="1:15" ht="90" x14ac:dyDescent="0.25">
      <c r="A93" s="12" t="str">
        <f>HYPERLINK("https://my.zakupki.prom.ua/remote/dispatcher/state_purchase_view/41441754", "UA-2023-03-16-000286-a")</f>
        <v>UA-2023-03-16-000286-a</v>
      </c>
      <c r="B93" s="12" t="s">
        <v>30</v>
      </c>
      <c r="C93" s="12" t="s">
        <v>41</v>
      </c>
      <c r="D93" s="13" t="s">
        <v>225</v>
      </c>
      <c r="E93" s="29">
        <v>44998</v>
      </c>
      <c r="F93" s="6">
        <v>92</v>
      </c>
      <c r="G93" s="56">
        <v>110180</v>
      </c>
      <c r="H93" s="12" t="s">
        <v>50</v>
      </c>
      <c r="I93" s="12" t="s">
        <v>51</v>
      </c>
      <c r="J93" s="12" t="s">
        <v>81</v>
      </c>
      <c r="K93" s="12" t="s">
        <v>82</v>
      </c>
      <c r="L93" s="12" t="s">
        <v>58</v>
      </c>
      <c r="M93" s="13">
        <v>17900</v>
      </c>
      <c r="N93" s="1"/>
      <c r="O93" s="1"/>
    </row>
    <row r="94" spans="1:15" ht="120" x14ac:dyDescent="0.25">
      <c r="A94" s="12" t="str">
        <f>HYPERLINK("https://my.zakupki.prom.ua/remote/dispatcher/state_purchase_view/41469897", "UA-2023-03-17-000189-a")</f>
        <v>UA-2023-03-17-000189-a</v>
      </c>
      <c r="B94" s="12" t="s">
        <v>237</v>
      </c>
      <c r="C94" s="12" t="s">
        <v>336</v>
      </c>
      <c r="D94" s="13" t="s">
        <v>225</v>
      </c>
      <c r="E94" s="29">
        <v>44999</v>
      </c>
      <c r="F94" s="6">
        <v>93</v>
      </c>
      <c r="G94" s="28">
        <v>118230</v>
      </c>
      <c r="H94" s="12" t="s">
        <v>50</v>
      </c>
      <c r="I94" s="12" t="s">
        <v>51</v>
      </c>
      <c r="J94" s="12" t="s">
        <v>337</v>
      </c>
      <c r="K94" s="12" t="s">
        <v>267</v>
      </c>
      <c r="L94" s="12" t="s">
        <v>335</v>
      </c>
      <c r="M94" s="13">
        <v>112608</v>
      </c>
      <c r="N94" s="1"/>
      <c r="O94" s="1"/>
    </row>
    <row r="95" spans="1:15" s="4" customFormat="1" ht="90" x14ac:dyDescent="0.25">
      <c r="A95" s="12" t="s">
        <v>342</v>
      </c>
      <c r="B95" s="12" t="s">
        <v>30</v>
      </c>
      <c r="C95" s="12" t="s">
        <v>103</v>
      </c>
      <c r="D95" s="13" t="s">
        <v>225</v>
      </c>
      <c r="E95" s="29">
        <v>45001</v>
      </c>
      <c r="F95" s="31">
        <v>94</v>
      </c>
      <c r="G95" s="28">
        <v>110180</v>
      </c>
      <c r="H95" s="12" t="s">
        <v>50</v>
      </c>
      <c r="I95" s="12" t="s">
        <v>51</v>
      </c>
      <c r="J95" s="12" t="s">
        <v>143</v>
      </c>
      <c r="K95" s="12" t="s">
        <v>158</v>
      </c>
      <c r="L95" s="12" t="s">
        <v>176</v>
      </c>
      <c r="M95" s="32">
        <v>-31270</v>
      </c>
      <c r="N95" s="1"/>
      <c r="O95" s="1"/>
    </row>
    <row r="96" spans="1:15" ht="90" x14ac:dyDescent="0.25">
      <c r="A96" s="12" t="str">
        <f>HYPERLINK("https://my.zakupki.prom.ua/remote/dispatcher/state_purchase_view/41578520", "UA-2023-03-22-010862-a")</f>
        <v>UA-2023-03-22-010862-a</v>
      </c>
      <c r="B96" s="12" t="s">
        <v>30</v>
      </c>
      <c r="C96" s="12" t="s">
        <v>339</v>
      </c>
      <c r="D96" s="13" t="s">
        <v>225</v>
      </c>
      <c r="E96" s="29">
        <v>45001</v>
      </c>
      <c r="F96" s="6">
        <v>95</v>
      </c>
      <c r="G96" s="16">
        <v>110180</v>
      </c>
      <c r="H96" s="12" t="s">
        <v>50</v>
      </c>
      <c r="I96" s="12" t="s">
        <v>51</v>
      </c>
      <c r="J96" s="12" t="s">
        <v>143</v>
      </c>
      <c r="K96" s="12" t="s">
        <v>158</v>
      </c>
      <c r="L96" s="12" t="s">
        <v>338</v>
      </c>
      <c r="M96" s="13">
        <v>31270</v>
      </c>
      <c r="N96" s="1"/>
      <c r="O96" s="1"/>
    </row>
    <row r="97" spans="1:15" s="4" customFormat="1" ht="90" x14ac:dyDescent="0.25">
      <c r="A97" s="17" t="str">
        <f>HYPERLINK("https://my.zakupki.prom.ua/remote/dispatcher/state_purchase_view/41441754", "UA-2023-03-16-000286-a")</f>
        <v>UA-2023-03-16-000286-a</v>
      </c>
      <c r="B97" s="17" t="s">
        <v>30</v>
      </c>
      <c r="C97" s="17" t="s">
        <v>41</v>
      </c>
      <c r="D97" s="13" t="s">
        <v>225</v>
      </c>
      <c r="E97" s="29">
        <v>45001</v>
      </c>
      <c r="F97" s="23">
        <v>96</v>
      </c>
      <c r="G97" s="33">
        <v>110180</v>
      </c>
      <c r="H97" s="17" t="s">
        <v>50</v>
      </c>
      <c r="I97" s="17" t="s">
        <v>51</v>
      </c>
      <c r="J97" s="17" t="s">
        <v>81</v>
      </c>
      <c r="K97" s="17" t="s">
        <v>82</v>
      </c>
      <c r="L97" s="17" t="s">
        <v>58</v>
      </c>
      <c r="M97" s="34">
        <v>-17900</v>
      </c>
      <c r="N97" s="1"/>
      <c r="O97" s="1"/>
    </row>
    <row r="98" spans="1:15" s="4" customFormat="1" ht="90" x14ac:dyDescent="0.25">
      <c r="A98" s="17" t="str">
        <f>HYPERLINK("https://my.zakupki.prom.ua/remote/dispatcher/state_purchase_view/41607006", "UA-2023-03-23-011099-a")</f>
        <v>UA-2023-03-23-011099-a</v>
      </c>
      <c r="B98" s="17" t="s">
        <v>30</v>
      </c>
      <c r="C98" s="17" t="s">
        <v>339</v>
      </c>
      <c r="D98" s="13" t="s">
        <v>225</v>
      </c>
      <c r="E98" s="29">
        <v>45001</v>
      </c>
      <c r="F98" s="23">
        <v>97</v>
      </c>
      <c r="G98" s="16">
        <v>110180</v>
      </c>
      <c r="H98" s="12" t="s">
        <v>50</v>
      </c>
      <c r="I98" s="12" t="s">
        <v>51</v>
      </c>
      <c r="J98" s="12" t="s">
        <v>81</v>
      </c>
      <c r="K98" s="12" t="s">
        <v>82</v>
      </c>
      <c r="L98" s="12" t="s">
        <v>338</v>
      </c>
      <c r="M98" s="13">
        <v>17900</v>
      </c>
      <c r="N98" s="1"/>
      <c r="O98" s="1"/>
    </row>
    <row r="99" spans="1:15" ht="60" x14ac:dyDescent="0.25">
      <c r="A99" s="17" t="str">
        <f>HYPERLINK("https://my.zakupki.prom.ua/remote/dispatcher/state_purchase_view/41566320", "UA-2023-03-22-005400-a")</f>
        <v>UA-2023-03-22-005400-a</v>
      </c>
      <c r="B99" s="17" t="s">
        <v>16</v>
      </c>
      <c r="C99" s="17" t="s">
        <v>341</v>
      </c>
      <c r="D99" s="13" t="s">
        <v>225</v>
      </c>
      <c r="E99" s="29">
        <v>45005</v>
      </c>
      <c r="F99" s="23">
        <v>98</v>
      </c>
      <c r="G99" s="25">
        <v>110150</v>
      </c>
      <c r="H99" s="17" t="s">
        <v>50</v>
      </c>
      <c r="I99" s="17" t="s">
        <v>51</v>
      </c>
      <c r="J99" s="17" t="s">
        <v>157</v>
      </c>
      <c r="K99" s="17" t="s">
        <v>174</v>
      </c>
      <c r="L99" s="17" t="s">
        <v>340</v>
      </c>
      <c r="M99" s="18">
        <v>400</v>
      </c>
      <c r="N99" s="1"/>
      <c r="O99" s="1"/>
    </row>
    <row r="100" spans="1:15" ht="60" x14ac:dyDescent="0.25">
      <c r="A100" s="17" t="str">
        <f>HYPERLINK("https://my.zakupki.prom.ua/remote/dispatcher/state_purchase_view/41567196", "UA-2023-03-22-005791-a")</f>
        <v>UA-2023-03-22-005791-a</v>
      </c>
      <c r="B100" s="17" t="s">
        <v>16</v>
      </c>
      <c r="C100" s="17" t="s">
        <v>139</v>
      </c>
      <c r="D100" s="13" t="s">
        <v>225</v>
      </c>
      <c r="E100" s="22">
        <v>45005</v>
      </c>
      <c r="F100" s="23">
        <v>99</v>
      </c>
      <c r="G100" s="33">
        <v>110150</v>
      </c>
      <c r="H100" s="17" t="s">
        <v>50</v>
      </c>
      <c r="I100" s="17" t="s">
        <v>51</v>
      </c>
      <c r="J100" s="23">
        <v>38685778</v>
      </c>
      <c r="K100" s="17" t="s">
        <v>174</v>
      </c>
      <c r="L100" s="17" t="s">
        <v>212</v>
      </c>
      <c r="M100" s="18">
        <v>3500</v>
      </c>
      <c r="N100" s="1"/>
      <c r="O100" s="1"/>
    </row>
    <row r="101" spans="1:15" ht="165" x14ac:dyDescent="0.25">
      <c r="A101" s="17" t="str">
        <f>HYPERLINK("https://my.zakupki.prom.ua/remote/dispatcher/state_purchase_view/41632513", "UA-2023-03-24-009937-a")</f>
        <v>UA-2023-03-24-009937-a</v>
      </c>
      <c r="B101" s="17" t="s">
        <v>31</v>
      </c>
      <c r="C101" s="17" t="s">
        <v>343</v>
      </c>
      <c r="D101" s="13" t="s">
        <v>225</v>
      </c>
      <c r="E101" s="22">
        <v>45005</v>
      </c>
      <c r="F101" s="23">
        <v>100</v>
      </c>
      <c r="G101" s="33">
        <v>118230</v>
      </c>
      <c r="H101" s="17" t="s">
        <v>50</v>
      </c>
      <c r="I101" s="17" t="s">
        <v>51</v>
      </c>
      <c r="J101" s="23">
        <v>726671</v>
      </c>
      <c r="K101" s="17" t="s">
        <v>159</v>
      </c>
      <c r="L101" s="17" t="s">
        <v>344</v>
      </c>
      <c r="M101" s="18">
        <v>2700</v>
      </c>
      <c r="N101" s="1"/>
      <c r="O101" s="1"/>
    </row>
    <row r="102" spans="1:15" ht="195" x14ac:dyDescent="0.25">
      <c r="A102" s="17" t="str">
        <f>HYPERLINK("https://my.zakupki.prom.ua/remote/dispatcher/state_purchase_view/41632525", "UA-2023-03-24-009946-a")</f>
        <v>UA-2023-03-24-009946-a</v>
      </c>
      <c r="B102" s="17" t="s">
        <v>31</v>
      </c>
      <c r="C102" s="17" t="s">
        <v>345</v>
      </c>
      <c r="D102" s="13" t="s">
        <v>225</v>
      </c>
      <c r="E102" s="22">
        <v>45005</v>
      </c>
      <c r="F102" s="23">
        <v>101</v>
      </c>
      <c r="G102" s="33">
        <v>118230</v>
      </c>
      <c r="H102" s="17" t="s">
        <v>50</v>
      </c>
      <c r="I102" s="17" t="s">
        <v>51</v>
      </c>
      <c r="J102" s="23">
        <v>726671</v>
      </c>
      <c r="K102" s="17" t="s">
        <v>159</v>
      </c>
      <c r="L102" s="17" t="s">
        <v>346</v>
      </c>
      <c r="M102" s="18">
        <v>1350</v>
      </c>
      <c r="N102" s="1"/>
      <c r="O102" s="1"/>
    </row>
    <row r="103" spans="1:15" ht="165" x14ac:dyDescent="0.25">
      <c r="A103" s="17" t="str">
        <f>HYPERLINK("https://my.zakupki.prom.ua/remote/dispatcher/state_purchase_view/41632533", "UA-2023-03-24-009956-a")</f>
        <v>UA-2023-03-24-009956-a</v>
      </c>
      <c r="B103" s="17" t="s">
        <v>31</v>
      </c>
      <c r="C103" s="17" t="s">
        <v>347</v>
      </c>
      <c r="D103" s="13" t="s">
        <v>225</v>
      </c>
      <c r="E103" s="22">
        <v>45005</v>
      </c>
      <c r="F103" s="23">
        <v>102</v>
      </c>
      <c r="G103" s="33">
        <v>118230</v>
      </c>
      <c r="H103" s="17" t="s">
        <v>50</v>
      </c>
      <c r="I103" s="17" t="s">
        <v>51</v>
      </c>
      <c r="J103" s="23">
        <v>726671</v>
      </c>
      <c r="K103" s="17" t="s">
        <v>159</v>
      </c>
      <c r="L103" s="17" t="s">
        <v>348</v>
      </c>
      <c r="M103" s="18">
        <v>2970</v>
      </c>
      <c r="N103" s="1"/>
      <c r="O103" s="1"/>
    </row>
    <row r="104" spans="1:15" ht="150" x14ac:dyDescent="0.25">
      <c r="A104" s="17" t="str">
        <f>HYPERLINK("https://my.zakupki.prom.ua/remote/dispatcher/state_purchase_view/41632545", "UA-2023-03-24-009961-a")</f>
        <v>UA-2023-03-24-009961-a</v>
      </c>
      <c r="B104" s="17" t="s">
        <v>31</v>
      </c>
      <c r="C104" s="17" t="s">
        <v>349</v>
      </c>
      <c r="D104" s="13" t="s">
        <v>225</v>
      </c>
      <c r="E104" s="22">
        <v>45005</v>
      </c>
      <c r="F104" s="23">
        <v>103</v>
      </c>
      <c r="G104" s="25">
        <v>118230</v>
      </c>
      <c r="H104" s="17" t="s">
        <v>50</v>
      </c>
      <c r="I104" s="17" t="s">
        <v>51</v>
      </c>
      <c r="J104" s="23">
        <v>726671</v>
      </c>
      <c r="K104" s="17" t="s">
        <v>159</v>
      </c>
      <c r="L104" s="17" t="s">
        <v>350</v>
      </c>
      <c r="M104" s="18">
        <v>4050</v>
      </c>
      <c r="N104" s="1"/>
      <c r="O104" s="1"/>
    </row>
    <row r="105" spans="1:15" ht="165" x14ac:dyDescent="0.25">
      <c r="A105" s="17" t="str">
        <f>HYPERLINK("https://my.zakupki.prom.ua/remote/dispatcher/state_purchase_view/41632584", "UA-2023-03-24-009971-a")</f>
        <v>UA-2023-03-24-009971-a</v>
      </c>
      <c r="B105" s="17" t="s">
        <v>31</v>
      </c>
      <c r="C105" s="17" t="s">
        <v>351</v>
      </c>
      <c r="D105" s="13" t="s">
        <v>225</v>
      </c>
      <c r="E105" s="22">
        <v>45005</v>
      </c>
      <c r="F105" s="23">
        <v>104</v>
      </c>
      <c r="G105" s="33">
        <v>118230</v>
      </c>
      <c r="H105" s="17" t="s">
        <v>50</v>
      </c>
      <c r="I105" s="17" t="s">
        <v>51</v>
      </c>
      <c r="J105" s="23">
        <v>2511711456</v>
      </c>
      <c r="K105" s="17" t="s">
        <v>352</v>
      </c>
      <c r="L105" s="17" t="s">
        <v>353</v>
      </c>
      <c r="M105" s="18">
        <v>7265</v>
      </c>
      <c r="N105" s="1"/>
      <c r="O105" s="1"/>
    </row>
    <row r="106" spans="1:15" ht="150" x14ac:dyDescent="0.25">
      <c r="A106" s="17" t="str">
        <f>HYPERLINK("https://my.zakupki.prom.ua/remote/dispatcher/state_purchase_view/41632616", "UA-2023-03-24-009993-a")</f>
        <v>UA-2023-03-24-009993-a</v>
      </c>
      <c r="B106" s="17" t="s">
        <v>31</v>
      </c>
      <c r="C106" s="17" t="s">
        <v>354</v>
      </c>
      <c r="D106" s="13" t="s">
        <v>225</v>
      </c>
      <c r="E106" s="22">
        <v>45005</v>
      </c>
      <c r="F106" s="23">
        <v>105</v>
      </c>
      <c r="G106" s="33">
        <v>118230</v>
      </c>
      <c r="H106" s="17" t="s">
        <v>50</v>
      </c>
      <c r="I106" s="17" t="s">
        <v>51</v>
      </c>
      <c r="J106" s="23">
        <v>44649444</v>
      </c>
      <c r="K106" s="17" t="s">
        <v>355</v>
      </c>
      <c r="L106" s="17" t="s">
        <v>356</v>
      </c>
      <c r="M106" s="18">
        <v>8098</v>
      </c>
      <c r="N106" s="1"/>
      <c r="O106" s="1"/>
    </row>
    <row r="107" spans="1:15" ht="150" x14ac:dyDescent="0.25">
      <c r="A107" s="17" t="str">
        <f>HYPERLINK("https://my.zakupki.prom.ua/remote/dispatcher/state_purchase_view/41632609", "UA-2023-03-24-009984-a")</f>
        <v>UA-2023-03-24-009984-a</v>
      </c>
      <c r="B107" s="17" t="s">
        <v>31</v>
      </c>
      <c r="C107" s="17" t="s">
        <v>357</v>
      </c>
      <c r="D107" s="13" t="s">
        <v>225</v>
      </c>
      <c r="E107" s="22">
        <v>45005</v>
      </c>
      <c r="F107" s="23">
        <v>106</v>
      </c>
      <c r="G107" s="33">
        <v>118230</v>
      </c>
      <c r="H107" s="17" t="s">
        <v>50</v>
      </c>
      <c r="I107" s="17" t="s">
        <v>51</v>
      </c>
      <c r="J107" s="23">
        <v>44649444</v>
      </c>
      <c r="K107" s="17" t="s">
        <v>355</v>
      </c>
      <c r="L107" s="17" t="s">
        <v>358</v>
      </c>
      <c r="M107" s="18">
        <v>8098</v>
      </c>
      <c r="N107" s="1"/>
      <c r="O107" s="1"/>
    </row>
    <row r="108" spans="1:15" ht="135" x14ac:dyDescent="0.25">
      <c r="A108" s="17" t="str">
        <f>HYPERLINK("https://my.zakupki.prom.ua/remote/dispatcher/state_purchase_view/41632628", "UA-2023-03-24-009999-a")</f>
        <v>UA-2023-03-24-009999-a</v>
      </c>
      <c r="B108" s="17" t="s">
        <v>31</v>
      </c>
      <c r="C108" s="17" t="s">
        <v>359</v>
      </c>
      <c r="D108" s="13" t="s">
        <v>225</v>
      </c>
      <c r="E108" s="22">
        <v>45005</v>
      </c>
      <c r="F108" s="23">
        <v>107</v>
      </c>
      <c r="G108" s="33">
        <v>118230</v>
      </c>
      <c r="H108" s="17" t="s">
        <v>50</v>
      </c>
      <c r="I108" s="17" t="s">
        <v>51</v>
      </c>
      <c r="J108" s="23">
        <v>44649444</v>
      </c>
      <c r="K108" s="17" t="s">
        <v>355</v>
      </c>
      <c r="L108" s="17" t="s">
        <v>360</v>
      </c>
      <c r="M108" s="18">
        <v>3223</v>
      </c>
      <c r="N108" s="1"/>
      <c r="O108" s="1"/>
    </row>
    <row r="109" spans="1:15" ht="90" x14ac:dyDescent="0.25">
      <c r="A109" s="17" t="str">
        <f>HYPERLINK("https://my.zakupki.prom.ua/remote/dispatcher/state_purchase_view/41733084", "UA-2023-03-30-008814-a")</f>
        <v>UA-2023-03-30-008814-a</v>
      </c>
      <c r="B109" s="17" t="s">
        <v>362</v>
      </c>
      <c r="C109" s="17" t="s">
        <v>361</v>
      </c>
      <c r="D109" s="13" t="s">
        <v>225</v>
      </c>
      <c r="E109" s="22">
        <v>45008</v>
      </c>
      <c r="F109" s="23">
        <v>108</v>
      </c>
      <c r="G109" s="33">
        <v>118230</v>
      </c>
      <c r="H109" s="17" t="s">
        <v>50</v>
      </c>
      <c r="I109" s="17" t="s">
        <v>51</v>
      </c>
      <c r="J109" s="23">
        <v>2984509254</v>
      </c>
      <c r="K109" s="17" t="s">
        <v>363</v>
      </c>
      <c r="L109" s="17" t="s">
        <v>364</v>
      </c>
      <c r="M109" s="18">
        <v>208217.34</v>
      </c>
      <c r="N109" s="1"/>
      <c r="O109" s="1"/>
    </row>
    <row r="110" spans="1:15" ht="90" x14ac:dyDescent="0.25">
      <c r="A110" s="17" t="str">
        <f>HYPERLINK("https://my.zakupki.prom.ua/remote/dispatcher/state_purchase_view/41732862", "UA-2023-03-30-008693-a")</f>
        <v>UA-2023-03-30-008693-a</v>
      </c>
      <c r="B110" s="17" t="s">
        <v>332</v>
      </c>
      <c r="C110" s="17" t="s">
        <v>365</v>
      </c>
      <c r="D110" s="13" t="s">
        <v>223</v>
      </c>
      <c r="E110" s="22">
        <v>45008</v>
      </c>
      <c r="F110" s="23">
        <v>109</v>
      </c>
      <c r="G110" s="33">
        <v>118240</v>
      </c>
      <c r="H110" s="17" t="s">
        <v>50</v>
      </c>
      <c r="I110" s="17" t="s">
        <v>51</v>
      </c>
      <c r="J110" s="23">
        <v>43094301</v>
      </c>
      <c r="K110" s="17" t="s">
        <v>333</v>
      </c>
      <c r="L110" s="17" t="s">
        <v>366</v>
      </c>
      <c r="M110" s="18">
        <v>412500</v>
      </c>
      <c r="N110" s="1"/>
      <c r="O110" s="1"/>
    </row>
    <row r="111" spans="1:15" ht="60" x14ac:dyDescent="0.25">
      <c r="A111" s="17" t="str">
        <f>HYPERLINK("https://my.zakupki.prom.ua/remote/dispatcher/state_purchase_view/41632494", "UA-2023-03-24-009929-a")</f>
        <v>UA-2023-03-24-009929-a</v>
      </c>
      <c r="B111" s="17" t="s">
        <v>368</v>
      </c>
      <c r="C111" s="17" t="s">
        <v>367</v>
      </c>
      <c r="D111" s="13" t="s">
        <v>223</v>
      </c>
      <c r="E111" s="22">
        <v>45008</v>
      </c>
      <c r="F111" s="23">
        <v>110</v>
      </c>
      <c r="G111" s="33">
        <v>118240</v>
      </c>
      <c r="H111" s="17" t="s">
        <v>50</v>
      </c>
      <c r="I111" s="17" t="s">
        <v>51</v>
      </c>
      <c r="J111" s="23">
        <v>43094301</v>
      </c>
      <c r="K111" s="17" t="s">
        <v>333</v>
      </c>
      <c r="L111" s="17" t="s">
        <v>369</v>
      </c>
      <c r="M111" s="18">
        <v>236000</v>
      </c>
      <c r="N111" s="1"/>
      <c r="O111" s="1"/>
    </row>
    <row r="112" spans="1:15" ht="150" x14ac:dyDescent="0.25">
      <c r="A112" s="17" t="str">
        <f>HYPERLINK("https://my.zakupki.prom.ua/remote/dispatcher/state_purchase_view/41732845", "UA-2023-03-30-008683-a")</f>
        <v>UA-2023-03-30-008683-a</v>
      </c>
      <c r="B112" s="17" t="s">
        <v>371</v>
      </c>
      <c r="C112" s="17" t="s">
        <v>370</v>
      </c>
      <c r="D112" s="13" t="s">
        <v>937</v>
      </c>
      <c r="E112" s="22">
        <v>45008</v>
      </c>
      <c r="F112" s="23">
        <v>111</v>
      </c>
      <c r="G112" s="33">
        <v>118240</v>
      </c>
      <c r="H112" s="17" t="s">
        <v>50</v>
      </c>
      <c r="I112" s="17" t="s">
        <v>51</v>
      </c>
      <c r="J112" s="23">
        <v>41362870</v>
      </c>
      <c r="K112" s="17" t="s">
        <v>372</v>
      </c>
      <c r="L112" s="17" t="s">
        <v>373</v>
      </c>
      <c r="M112" s="18" t="s">
        <v>938</v>
      </c>
      <c r="N112" s="1"/>
      <c r="O112" s="1"/>
    </row>
    <row r="113" spans="1:15" ht="105" x14ac:dyDescent="0.25">
      <c r="A113" s="17" t="str">
        <f>HYPERLINK("https://my.zakupki.prom.ua/remote/dispatcher/state_purchase_view/41733070", "UA-2023-03-30-008803-a")</f>
        <v>UA-2023-03-30-008803-a</v>
      </c>
      <c r="B113" s="17" t="s">
        <v>45</v>
      </c>
      <c r="C113" s="17" t="s">
        <v>374</v>
      </c>
      <c r="D113" s="13" t="s">
        <v>225</v>
      </c>
      <c r="E113" s="22">
        <v>45008</v>
      </c>
      <c r="F113" s="23">
        <v>112</v>
      </c>
      <c r="G113" s="33">
        <v>118230</v>
      </c>
      <c r="H113" s="17" t="s">
        <v>50</v>
      </c>
      <c r="I113" s="17" t="s">
        <v>51</v>
      </c>
      <c r="J113" s="23">
        <v>3138505777</v>
      </c>
      <c r="K113" s="17" t="s">
        <v>375</v>
      </c>
      <c r="L113" s="17" t="s">
        <v>376</v>
      </c>
      <c r="M113" s="18">
        <v>474704.34</v>
      </c>
      <c r="N113" s="1"/>
      <c r="O113" s="1"/>
    </row>
    <row r="114" spans="1:15" ht="150" x14ac:dyDescent="0.25">
      <c r="A114" s="17" t="str">
        <f>HYPERLINK("https://my.zakupki.prom.ua/remote/dispatcher/state_purchase_view/41733075", "UA-2023-03-30-008806-a")</f>
        <v>UA-2023-03-30-008806-a</v>
      </c>
      <c r="B114" s="17" t="s">
        <v>378</v>
      </c>
      <c r="C114" s="17" t="s">
        <v>377</v>
      </c>
      <c r="D114" s="13" t="s">
        <v>225</v>
      </c>
      <c r="E114" s="22">
        <v>45008</v>
      </c>
      <c r="F114" s="23">
        <v>113</v>
      </c>
      <c r="G114" s="33">
        <v>118230</v>
      </c>
      <c r="H114" s="17" t="s">
        <v>50</v>
      </c>
      <c r="I114" s="17" t="s">
        <v>51</v>
      </c>
      <c r="J114" s="23">
        <v>41957285</v>
      </c>
      <c r="K114" s="17" t="s">
        <v>379</v>
      </c>
      <c r="L114" s="17" t="s">
        <v>380</v>
      </c>
      <c r="M114" s="18">
        <v>643786.21</v>
      </c>
      <c r="N114" s="1"/>
      <c r="O114" s="1"/>
    </row>
    <row r="115" spans="1:15" ht="165" x14ac:dyDescent="0.25">
      <c r="A115" s="17" t="str">
        <f>HYPERLINK("https://my.zakupki.prom.ua/remote/dispatcher/state_purchase_view/41733137", "UA-2023-03-30-008844-a")</f>
        <v>UA-2023-03-30-008844-a</v>
      </c>
      <c r="B115" s="17" t="s">
        <v>378</v>
      </c>
      <c r="C115" s="17" t="s">
        <v>381</v>
      </c>
      <c r="D115" s="13" t="s">
        <v>225</v>
      </c>
      <c r="E115" s="22">
        <v>45008</v>
      </c>
      <c r="F115" s="23">
        <v>114</v>
      </c>
      <c r="G115" s="33">
        <v>118230</v>
      </c>
      <c r="H115" s="17" t="s">
        <v>50</v>
      </c>
      <c r="I115" s="17" t="s">
        <v>51</v>
      </c>
      <c r="J115" s="23">
        <v>39983274</v>
      </c>
      <c r="K115" s="17" t="s">
        <v>382</v>
      </c>
      <c r="L115" s="17" t="s">
        <v>383</v>
      </c>
      <c r="M115" s="18">
        <v>3743181.33</v>
      </c>
      <c r="N115" s="1"/>
      <c r="O115" s="1"/>
    </row>
    <row r="116" spans="1:15" ht="195" x14ac:dyDescent="0.25">
      <c r="A116" s="17" t="str">
        <f>HYPERLINK("https://my.zakupki.prom.ua/remote/dispatcher/state_purchase_view/41733143", "UA-2023-03-30-008847-a")</f>
        <v>UA-2023-03-30-008847-a</v>
      </c>
      <c r="B116" s="17" t="s">
        <v>378</v>
      </c>
      <c r="C116" s="17" t="s">
        <v>384</v>
      </c>
      <c r="D116" s="13" t="s">
        <v>225</v>
      </c>
      <c r="E116" s="22">
        <v>45008</v>
      </c>
      <c r="F116" s="23">
        <v>115</v>
      </c>
      <c r="G116" s="33">
        <v>118230</v>
      </c>
      <c r="H116" s="17" t="s">
        <v>50</v>
      </c>
      <c r="I116" s="17" t="s">
        <v>51</v>
      </c>
      <c r="J116" s="23">
        <v>34517875</v>
      </c>
      <c r="K116" s="17" t="s">
        <v>100</v>
      </c>
      <c r="L116" s="17" t="s">
        <v>385</v>
      </c>
      <c r="M116" s="18">
        <v>142020</v>
      </c>
      <c r="N116" s="1"/>
      <c r="O116" s="1"/>
    </row>
    <row r="117" spans="1:15" ht="105" x14ac:dyDescent="0.25">
      <c r="A117" s="17" t="str">
        <f>HYPERLINK("https://my.zakupki.prom.ua/remote/dispatcher/state_purchase_view/41733153", "UA-2023-03-30-008860-a")</f>
        <v>UA-2023-03-30-008860-a</v>
      </c>
      <c r="B117" s="17" t="s">
        <v>45</v>
      </c>
      <c r="C117" s="17" t="s">
        <v>386</v>
      </c>
      <c r="D117" s="13" t="s">
        <v>225</v>
      </c>
      <c r="E117" s="22">
        <v>45008</v>
      </c>
      <c r="F117" s="23">
        <v>116</v>
      </c>
      <c r="G117" s="33">
        <v>118230</v>
      </c>
      <c r="H117" s="17" t="s">
        <v>50</v>
      </c>
      <c r="I117" s="17" t="s">
        <v>51</v>
      </c>
      <c r="J117" s="23">
        <v>34517875</v>
      </c>
      <c r="K117" s="17" t="s">
        <v>100</v>
      </c>
      <c r="L117" s="17" t="s">
        <v>387</v>
      </c>
      <c r="M117" s="18">
        <v>1210968</v>
      </c>
      <c r="N117" s="1"/>
      <c r="O117" s="1"/>
    </row>
    <row r="118" spans="1:15" ht="165" x14ac:dyDescent="0.25">
      <c r="A118" s="17" t="str">
        <f>HYPERLINK("https://my.zakupki.prom.ua/remote/dispatcher/state_purchase_view/41733109", "UA-2023-03-30-008833-a")</f>
        <v>UA-2023-03-30-008833-a</v>
      </c>
      <c r="B118" s="17" t="s">
        <v>31</v>
      </c>
      <c r="C118" s="17" t="s">
        <v>388</v>
      </c>
      <c r="D118" s="13" t="s">
        <v>225</v>
      </c>
      <c r="E118" s="22">
        <v>45008</v>
      </c>
      <c r="F118" s="23">
        <v>117</v>
      </c>
      <c r="G118" s="33">
        <v>118230</v>
      </c>
      <c r="H118" s="17" t="s">
        <v>50</v>
      </c>
      <c r="I118" s="17" t="s">
        <v>51</v>
      </c>
      <c r="J118" s="23">
        <v>2461019017</v>
      </c>
      <c r="K118" s="17" t="s">
        <v>70</v>
      </c>
      <c r="L118" s="17" t="s">
        <v>389</v>
      </c>
      <c r="M118" s="18">
        <v>5706.05</v>
      </c>
      <c r="N118" s="1"/>
      <c r="O118" s="1"/>
    </row>
    <row r="119" spans="1:15" ht="165" x14ac:dyDescent="0.25">
      <c r="A119" s="17" t="str">
        <f>HYPERLINK("https://my.zakupki.prom.ua/remote/dispatcher/state_purchase_view/41733122", "UA-2023-03-30-008839-a")</f>
        <v>UA-2023-03-30-008839-a</v>
      </c>
      <c r="B119" s="17" t="s">
        <v>31</v>
      </c>
      <c r="C119" s="17" t="s">
        <v>390</v>
      </c>
      <c r="D119" s="13" t="s">
        <v>225</v>
      </c>
      <c r="E119" s="22">
        <v>45008</v>
      </c>
      <c r="F119" s="23">
        <v>118</v>
      </c>
      <c r="G119" s="33">
        <v>118230</v>
      </c>
      <c r="H119" s="17" t="s">
        <v>50</v>
      </c>
      <c r="I119" s="17" t="s">
        <v>51</v>
      </c>
      <c r="J119" s="23">
        <v>2461019017</v>
      </c>
      <c r="K119" s="17" t="s">
        <v>70</v>
      </c>
      <c r="L119" s="17" t="s">
        <v>391</v>
      </c>
      <c r="M119" s="18">
        <v>5806.87</v>
      </c>
      <c r="N119" s="1"/>
      <c r="O119" s="1"/>
    </row>
    <row r="120" spans="1:15" ht="150" x14ac:dyDescent="0.25">
      <c r="A120" s="17" t="str">
        <f>HYPERLINK("https://my.zakupki.prom.ua/remote/dispatcher/state_purchase_view/41733098", "UA-2023-03-30-008827-a")</f>
        <v>UA-2023-03-30-008827-a</v>
      </c>
      <c r="B120" s="17" t="s">
        <v>31</v>
      </c>
      <c r="C120" s="17" t="s">
        <v>392</v>
      </c>
      <c r="D120" s="13" t="s">
        <v>225</v>
      </c>
      <c r="E120" s="22">
        <v>45008</v>
      </c>
      <c r="F120" s="23">
        <v>119</v>
      </c>
      <c r="G120" s="25">
        <v>118230</v>
      </c>
      <c r="H120" s="17" t="s">
        <v>50</v>
      </c>
      <c r="I120" s="17" t="s">
        <v>51</v>
      </c>
      <c r="J120" s="23">
        <v>2461019017</v>
      </c>
      <c r="K120" s="17" t="s">
        <v>70</v>
      </c>
      <c r="L120" s="17" t="s">
        <v>393</v>
      </c>
      <c r="M120" s="18">
        <v>2542.21</v>
      </c>
      <c r="N120" s="1"/>
      <c r="O120" s="1"/>
    </row>
    <row r="121" spans="1:15" ht="120" x14ac:dyDescent="0.25">
      <c r="A121" s="17" t="str">
        <f>HYPERLINK("https://my.zakupki.prom.ua/remote/dispatcher/state_purchase_view/41742550", "UA-2023-03-31-004220-a")</f>
        <v>UA-2023-03-31-004220-a</v>
      </c>
      <c r="B121" s="17" t="s">
        <v>45</v>
      </c>
      <c r="C121" s="17" t="s">
        <v>394</v>
      </c>
      <c r="D121" s="13" t="s">
        <v>225</v>
      </c>
      <c r="E121" s="22">
        <v>45009</v>
      </c>
      <c r="F121" s="23">
        <v>120</v>
      </c>
      <c r="G121" s="25">
        <v>118230</v>
      </c>
      <c r="H121" s="17" t="s">
        <v>50</v>
      </c>
      <c r="I121" s="17" t="s">
        <v>51</v>
      </c>
      <c r="J121" s="23">
        <v>34517875</v>
      </c>
      <c r="K121" s="17" t="s">
        <v>100</v>
      </c>
      <c r="L121" s="17" t="s">
        <v>395</v>
      </c>
      <c r="M121" s="18">
        <v>351774</v>
      </c>
      <c r="N121" s="1"/>
      <c r="O121" s="1"/>
    </row>
    <row r="122" spans="1:15" ht="105" x14ac:dyDescent="0.25">
      <c r="A122" s="17" t="str">
        <f>HYPERLINK("https://my.zakupki.prom.ua/remote/dispatcher/state_purchase_view/41742669", "UA-2023-03-31-004242-a")</f>
        <v>UA-2023-03-31-004242-a</v>
      </c>
      <c r="B122" s="17" t="s">
        <v>45</v>
      </c>
      <c r="C122" s="17" t="s">
        <v>396</v>
      </c>
      <c r="D122" s="13" t="s">
        <v>225</v>
      </c>
      <c r="E122" s="22">
        <v>45009</v>
      </c>
      <c r="F122" s="23">
        <v>121</v>
      </c>
      <c r="G122" s="25">
        <v>118230</v>
      </c>
      <c r="H122" s="17" t="s">
        <v>50</v>
      </c>
      <c r="I122" s="17" t="s">
        <v>51</v>
      </c>
      <c r="J122" s="23">
        <v>34517875</v>
      </c>
      <c r="K122" s="17" t="s">
        <v>100</v>
      </c>
      <c r="L122" s="17" t="s">
        <v>397</v>
      </c>
      <c r="M122" s="18">
        <v>483780</v>
      </c>
      <c r="N122" s="1"/>
      <c r="O122" s="1"/>
    </row>
    <row r="123" spans="1:15" ht="180" x14ac:dyDescent="0.25">
      <c r="A123" s="17" t="str">
        <f>HYPERLINK("https://my.zakupki.prom.ua/remote/dispatcher/state_purchase_view/41749893", "UA-2023-03-31-007441-a")</f>
        <v>UA-2023-03-31-007441-a</v>
      </c>
      <c r="B123" s="17" t="s">
        <v>31</v>
      </c>
      <c r="C123" s="17" t="s">
        <v>398</v>
      </c>
      <c r="D123" s="13" t="s">
        <v>225</v>
      </c>
      <c r="E123" s="22">
        <v>45009</v>
      </c>
      <c r="F123" s="23">
        <v>122</v>
      </c>
      <c r="G123" s="25">
        <v>118230</v>
      </c>
      <c r="H123" s="17" t="s">
        <v>50</v>
      </c>
      <c r="I123" s="17" t="s">
        <v>51</v>
      </c>
      <c r="J123" s="23">
        <v>2461019017</v>
      </c>
      <c r="K123" s="17" t="s">
        <v>70</v>
      </c>
      <c r="L123" s="17" t="s">
        <v>399</v>
      </c>
      <c r="M123" s="18">
        <v>50914.22</v>
      </c>
      <c r="N123" s="1"/>
      <c r="O123" s="1"/>
    </row>
    <row r="124" spans="1:15" ht="195" x14ac:dyDescent="0.25">
      <c r="A124" s="17" t="str">
        <f>HYPERLINK("https://my.zakupki.prom.ua/remote/dispatcher/state_purchase_view/41749941", "UA-2023-03-31-007476-a")</f>
        <v>UA-2023-03-31-007476-a</v>
      </c>
      <c r="B124" s="17" t="s">
        <v>31</v>
      </c>
      <c r="C124" s="17" t="s">
        <v>400</v>
      </c>
      <c r="D124" s="13" t="s">
        <v>225</v>
      </c>
      <c r="E124" s="22">
        <v>45009</v>
      </c>
      <c r="F124" s="23">
        <v>123</v>
      </c>
      <c r="G124" s="25">
        <v>118230</v>
      </c>
      <c r="H124" s="17" t="s">
        <v>50</v>
      </c>
      <c r="I124" s="17" t="s">
        <v>51</v>
      </c>
      <c r="J124" s="23">
        <v>2461019017</v>
      </c>
      <c r="K124" s="17" t="s">
        <v>70</v>
      </c>
      <c r="L124" s="17" t="s">
        <v>401</v>
      </c>
      <c r="M124" s="18">
        <v>1300.02</v>
      </c>
      <c r="N124" s="1"/>
      <c r="O124" s="1"/>
    </row>
    <row r="125" spans="1:15" ht="165" x14ac:dyDescent="0.25">
      <c r="A125" s="17" t="str">
        <f>HYPERLINK("https://my.zakupki.prom.ua/remote/dispatcher/state_purchase_view/41750108", "UA-2023-03-31-007554-a")</f>
        <v>UA-2023-03-31-007554-a</v>
      </c>
      <c r="B125" s="17" t="s">
        <v>31</v>
      </c>
      <c r="C125" s="17" t="s">
        <v>402</v>
      </c>
      <c r="D125" s="13" t="s">
        <v>225</v>
      </c>
      <c r="E125" s="22">
        <v>45009</v>
      </c>
      <c r="F125" s="23">
        <v>124</v>
      </c>
      <c r="G125" s="25">
        <v>118230</v>
      </c>
      <c r="H125" s="17" t="s">
        <v>50</v>
      </c>
      <c r="I125" s="17" t="s">
        <v>51</v>
      </c>
      <c r="J125" s="23">
        <v>2461019017</v>
      </c>
      <c r="K125" s="17" t="s">
        <v>70</v>
      </c>
      <c r="L125" s="17" t="s">
        <v>403</v>
      </c>
      <c r="M125" s="18">
        <v>12961.7</v>
      </c>
    </row>
    <row r="126" spans="1:15" ht="165" x14ac:dyDescent="0.25">
      <c r="A126" s="17" t="str">
        <f>HYPERLINK("https://my.zakupki.prom.ua/remote/dispatcher/state_purchase_view/41750366", "UA-2023-03-31-007675-a")</f>
        <v>UA-2023-03-31-007675-a</v>
      </c>
      <c r="B126" s="17" t="s">
        <v>31</v>
      </c>
      <c r="C126" s="17" t="s">
        <v>404</v>
      </c>
      <c r="D126" s="13" t="s">
        <v>225</v>
      </c>
      <c r="E126" s="22">
        <v>45009</v>
      </c>
      <c r="F126" s="23">
        <v>125</v>
      </c>
      <c r="G126" s="25">
        <v>118230</v>
      </c>
      <c r="H126" s="17" t="s">
        <v>50</v>
      </c>
      <c r="I126" s="17" t="s">
        <v>51</v>
      </c>
      <c r="J126" s="23">
        <v>2461019017</v>
      </c>
      <c r="K126" s="17" t="s">
        <v>70</v>
      </c>
      <c r="L126" s="17" t="s">
        <v>405</v>
      </c>
      <c r="M126" s="18">
        <v>5464.14</v>
      </c>
    </row>
    <row r="127" spans="1:15" ht="180" x14ac:dyDescent="0.25">
      <c r="A127" s="17" t="str">
        <f>HYPERLINK("https://my.zakupki.prom.ua/remote/dispatcher/state_purchase_view/41750184", "UA-2023-03-31-007603-a")</f>
        <v>UA-2023-03-31-007603-a</v>
      </c>
      <c r="B127" s="17" t="s">
        <v>31</v>
      </c>
      <c r="C127" s="17" t="s">
        <v>406</v>
      </c>
      <c r="D127" s="13" t="s">
        <v>225</v>
      </c>
      <c r="E127" s="22">
        <v>45009</v>
      </c>
      <c r="F127" s="23">
        <v>126</v>
      </c>
      <c r="G127" s="25">
        <v>118230</v>
      </c>
      <c r="H127" s="17" t="s">
        <v>50</v>
      </c>
      <c r="I127" s="17" t="s">
        <v>51</v>
      </c>
      <c r="J127" s="23">
        <v>2461019017</v>
      </c>
      <c r="K127" s="17" t="s">
        <v>70</v>
      </c>
      <c r="L127" s="17" t="s">
        <v>407</v>
      </c>
      <c r="M127" s="18">
        <v>3702.66</v>
      </c>
    </row>
    <row r="128" spans="1:15" ht="135" x14ac:dyDescent="0.25">
      <c r="A128" s="17" t="str">
        <f>HYPERLINK("https://my.zakupki.prom.ua/remote/dispatcher/state_purchase_view/41750000", "UA-2023-03-31-007520-a")</f>
        <v>UA-2023-03-31-007520-a</v>
      </c>
      <c r="B128" s="17" t="s">
        <v>332</v>
      </c>
      <c r="C128" s="17" t="s">
        <v>408</v>
      </c>
      <c r="D128" s="13"/>
      <c r="E128" s="22">
        <v>45012</v>
      </c>
      <c r="F128" s="23">
        <v>127</v>
      </c>
      <c r="G128" s="25">
        <v>118230</v>
      </c>
      <c r="H128" s="17" t="s">
        <v>50</v>
      </c>
      <c r="I128" s="17" t="s">
        <v>51</v>
      </c>
      <c r="J128" s="23">
        <v>43094301</v>
      </c>
      <c r="K128" s="17" t="s">
        <v>333</v>
      </c>
      <c r="L128" s="17" t="s">
        <v>366</v>
      </c>
      <c r="M128" s="18">
        <v>1411780</v>
      </c>
    </row>
    <row r="129" spans="1:13" ht="120" x14ac:dyDescent="0.25">
      <c r="A129" s="17" t="str">
        <f>HYPERLINK("https://my.zakupki.prom.ua/remote/dispatcher/state_purchase_view/41754373", "UA-2023-04-03-000390-a")</f>
        <v>UA-2023-04-03-000390-a</v>
      </c>
      <c r="B129" s="17" t="s">
        <v>237</v>
      </c>
      <c r="C129" s="17" t="s">
        <v>409</v>
      </c>
      <c r="D129" s="13" t="s">
        <v>225</v>
      </c>
      <c r="E129" s="22">
        <v>45012</v>
      </c>
      <c r="F129" s="23">
        <v>128</v>
      </c>
      <c r="G129" s="25">
        <v>118230</v>
      </c>
      <c r="H129" s="17" t="s">
        <v>50</v>
      </c>
      <c r="I129" s="17" t="s">
        <v>51</v>
      </c>
      <c r="J129" s="23">
        <v>31430142</v>
      </c>
      <c r="K129" s="17" t="s">
        <v>267</v>
      </c>
      <c r="L129" s="17" t="s">
        <v>281</v>
      </c>
      <c r="M129" s="18">
        <v>87900</v>
      </c>
    </row>
    <row r="130" spans="1:13" ht="165" x14ac:dyDescent="0.25">
      <c r="A130" s="17" t="str">
        <f>HYPERLINK("https://my.zakupki.prom.ua/remote/dispatcher/state_purchase_view/41295450", "UA-2023-03-08-004947-a")</f>
        <v>UA-2023-03-08-004947-a</v>
      </c>
      <c r="B130" s="17" t="s">
        <v>39</v>
      </c>
      <c r="C130" s="17" t="s">
        <v>410</v>
      </c>
      <c r="D130" s="13" t="s">
        <v>225</v>
      </c>
      <c r="E130" s="22">
        <v>45014</v>
      </c>
      <c r="F130" s="23">
        <v>129</v>
      </c>
      <c r="G130" s="25">
        <v>110150</v>
      </c>
      <c r="H130" s="17" t="s">
        <v>50</v>
      </c>
      <c r="I130" s="17" t="s">
        <v>51</v>
      </c>
      <c r="J130" s="23">
        <v>14333937</v>
      </c>
      <c r="K130" s="17" t="s">
        <v>270</v>
      </c>
      <c r="L130" s="17" t="s">
        <v>411</v>
      </c>
      <c r="M130" s="18">
        <v>9600</v>
      </c>
    </row>
    <row r="131" spans="1:13" ht="60" x14ac:dyDescent="0.25">
      <c r="A131" s="17" t="str">
        <f>HYPERLINK("https://my.zakupki.prom.ua/remote/dispatcher/state_purchase_view/41766144", "UA-2023-04-03-005560-a")</f>
        <v>UA-2023-04-03-005560-a</v>
      </c>
      <c r="B131" s="17" t="s">
        <v>413</v>
      </c>
      <c r="C131" s="17" t="s">
        <v>412</v>
      </c>
      <c r="D131" s="13" t="s">
        <v>223</v>
      </c>
      <c r="E131" s="22">
        <v>45014</v>
      </c>
      <c r="F131" s="23">
        <v>130</v>
      </c>
      <c r="G131" s="25">
        <v>113112</v>
      </c>
      <c r="H131" s="17" t="s">
        <v>50</v>
      </c>
      <c r="I131" s="17" t="s">
        <v>51</v>
      </c>
      <c r="J131" s="23">
        <v>2731901776</v>
      </c>
      <c r="K131" s="17" t="s">
        <v>414</v>
      </c>
      <c r="L131" s="17" t="s">
        <v>415</v>
      </c>
      <c r="M131" s="18">
        <v>2600</v>
      </c>
    </row>
    <row r="132" spans="1:13" ht="60" x14ac:dyDescent="0.25">
      <c r="A132" s="17" t="str">
        <f>HYPERLINK("https://my.zakupki.prom.ua/remote/dispatcher/state_purchase_view/41768435", "UA-2023-04-03-006616-a")</f>
        <v>UA-2023-04-03-006616-a</v>
      </c>
      <c r="B132" s="17" t="s">
        <v>417</v>
      </c>
      <c r="C132" s="17" t="s">
        <v>416</v>
      </c>
      <c r="D132" s="13" t="s">
        <v>223</v>
      </c>
      <c r="E132" s="22">
        <v>45014</v>
      </c>
      <c r="F132" s="23">
        <v>131</v>
      </c>
      <c r="G132" s="25">
        <v>113112</v>
      </c>
      <c r="H132" s="17" t="s">
        <v>50</v>
      </c>
      <c r="I132" s="17" t="s">
        <v>51</v>
      </c>
      <c r="J132" s="23">
        <v>2731901776</v>
      </c>
      <c r="K132" s="17" t="s">
        <v>414</v>
      </c>
      <c r="L132" s="17" t="s">
        <v>418</v>
      </c>
      <c r="M132" s="18">
        <v>13350</v>
      </c>
    </row>
    <row r="133" spans="1:13" ht="60" x14ac:dyDescent="0.25">
      <c r="A133" s="17" t="str">
        <f>HYPERLINK("https://my.zakupki.prom.ua/remote/dispatcher/state_purchase_view/41768975", "UA-2023-04-03-006873-a")</f>
        <v>UA-2023-04-03-006873-a</v>
      </c>
      <c r="B133" s="17" t="s">
        <v>420</v>
      </c>
      <c r="C133" s="17" t="s">
        <v>419</v>
      </c>
      <c r="D133" s="13" t="s">
        <v>223</v>
      </c>
      <c r="E133" s="22">
        <v>45014</v>
      </c>
      <c r="F133" s="23">
        <v>132</v>
      </c>
      <c r="G133" s="25">
        <v>113112</v>
      </c>
      <c r="H133" s="17" t="s">
        <v>50</v>
      </c>
      <c r="I133" s="17" t="s">
        <v>51</v>
      </c>
      <c r="J133" s="23">
        <v>2731901776</v>
      </c>
      <c r="K133" s="17" t="s">
        <v>414</v>
      </c>
      <c r="L133" s="17" t="s">
        <v>421</v>
      </c>
      <c r="M133" s="18">
        <v>28050</v>
      </c>
    </row>
    <row r="134" spans="1:13" ht="60" x14ac:dyDescent="0.25">
      <c r="A134" s="17" t="str">
        <f>HYPERLINK("https://my.zakupki.prom.ua/remote/dispatcher/state_purchase_view/41769311", "UA-2023-04-03-007002-a")</f>
        <v>UA-2023-04-03-007002-a</v>
      </c>
      <c r="B134" s="17" t="s">
        <v>423</v>
      </c>
      <c r="C134" s="17" t="s">
        <v>422</v>
      </c>
      <c r="D134" s="13" t="s">
        <v>223</v>
      </c>
      <c r="E134" s="22">
        <v>45014</v>
      </c>
      <c r="F134" s="23">
        <v>133</v>
      </c>
      <c r="G134" s="25">
        <v>113112</v>
      </c>
      <c r="H134" s="17" t="s">
        <v>50</v>
      </c>
      <c r="I134" s="17" t="s">
        <v>51</v>
      </c>
      <c r="J134" s="23">
        <v>2731901776</v>
      </c>
      <c r="K134" s="17" t="s">
        <v>414</v>
      </c>
      <c r="L134" s="17" t="s">
        <v>424</v>
      </c>
      <c r="M134" s="18">
        <v>4000</v>
      </c>
    </row>
    <row r="135" spans="1:13" ht="60" x14ac:dyDescent="0.25">
      <c r="A135" s="17" t="str">
        <f>HYPERLINK("https://my.zakupki.prom.ua/remote/dispatcher/state_purchase_view/41769462", "UA-2023-04-03-007111-a")</f>
        <v>UA-2023-04-03-007111-a</v>
      </c>
      <c r="B135" s="17" t="s">
        <v>426</v>
      </c>
      <c r="C135" s="17" t="s">
        <v>425</v>
      </c>
      <c r="D135" s="13" t="s">
        <v>223</v>
      </c>
      <c r="E135" s="22">
        <v>45014</v>
      </c>
      <c r="F135" s="23">
        <v>134</v>
      </c>
      <c r="G135" s="25">
        <v>110150</v>
      </c>
      <c r="H135" s="17" t="s">
        <v>50</v>
      </c>
      <c r="I135" s="17" t="s">
        <v>51</v>
      </c>
      <c r="J135" s="23">
        <v>2324303456</v>
      </c>
      <c r="K135" s="17" t="s">
        <v>427</v>
      </c>
      <c r="L135" s="17" t="s">
        <v>428</v>
      </c>
      <c r="M135" s="18">
        <v>27000</v>
      </c>
    </row>
    <row r="136" spans="1:13" ht="150" x14ac:dyDescent="0.25">
      <c r="A136" s="17" t="str">
        <f>HYPERLINK("https://my.zakupki.prom.ua/remote/dispatcher/state_purchase_view/41766739", "UA-2023-04-03-005839-a")</f>
        <v>UA-2023-04-03-005839-a</v>
      </c>
      <c r="B136" s="17" t="s">
        <v>430</v>
      </c>
      <c r="C136" s="17" t="s">
        <v>429</v>
      </c>
      <c r="D136" s="13" t="s">
        <v>225</v>
      </c>
      <c r="E136" s="22">
        <v>45014</v>
      </c>
      <c r="F136" s="23">
        <v>135</v>
      </c>
      <c r="G136" s="25">
        <v>110150</v>
      </c>
      <c r="H136" s="17" t="s">
        <v>50</v>
      </c>
      <c r="I136" s="17" t="s">
        <v>51</v>
      </c>
      <c r="J136" s="23">
        <v>42566969</v>
      </c>
      <c r="K136" s="17" t="s">
        <v>63</v>
      </c>
      <c r="L136" s="17" t="s">
        <v>431</v>
      </c>
      <c r="M136" s="18">
        <v>785</v>
      </c>
    </row>
    <row r="137" spans="1:13" ht="120" x14ac:dyDescent="0.25">
      <c r="A137" s="17" t="str">
        <f>HYPERLINK("https://my.zakupki.prom.ua/remote/dispatcher/state_purchase_view/41810813", "UA-2023-04-05-001554-a")</f>
        <v>UA-2023-04-05-001554-a</v>
      </c>
      <c r="B137" s="17" t="s">
        <v>433</v>
      </c>
      <c r="C137" s="17" t="s">
        <v>454</v>
      </c>
      <c r="D137" s="13" t="s">
        <v>223</v>
      </c>
      <c r="E137" s="22">
        <v>45020</v>
      </c>
      <c r="F137" s="23">
        <v>136</v>
      </c>
      <c r="G137" s="17">
        <v>110150</v>
      </c>
      <c r="H137" s="17" t="s">
        <v>50</v>
      </c>
      <c r="I137" s="17" t="s">
        <v>51</v>
      </c>
      <c r="J137" s="23">
        <v>2554515595</v>
      </c>
      <c r="K137" s="17" t="s">
        <v>529</v>
      </c>
      <c r="L137" s="17" t="s">
        <v>491</v>
      </c>
      <c r="M137" s="18">
        <v>56178.68</v>
      </c>
    </row>
    <row r="138" spans="1:13" ht="75" x14ac:dyDescent="0.25">
      <c r="A138" s="17" t="str">
        <f>HYPERLINK("https://my.zakupki.prom.ua/remote/dispatcher/state_purchase_view/41813683", "UA-2023-04-05-002800-a")</f>
        <v>UA-2023-04-05-002800-a</v>
      </c>
      <c r="B138" s="17" t="s">
        <v>434</v>
      </c>
      <c r="C138" s="17" t="s">
        <v>455</v>
      </c>
      <c r="D138" s="13" t="s">
        <v>223</v>
      </c>
      <c r="E138" s="22">
        <v>45020</v>
      </c>
      <c r="F138" s="23">
        <v>137</v>
      </c>
      <c r="G138" s="38">
        <v>110150</v>
      </c>
      <c r="H138" s="17" t="s">
        <v>50</v>
      </c>
      <c r="I138" s="17" t="s">
        <v>51</v>
      </c>
      <c r="J138" s="23">
        <v>32490244</v>
      </c>
      <c r="K138" s="17" t="s">
        <v>268</v>
      </c>
      <c r="L138" s="17" t="s">
        <v>492</v>
      </c>
      <c r="M138" s="18">
        <v>67812.3</v>
      </c>
    </row>
    <row r="139" spans="1:13" ht="150" x14ac:dyDescent="0.25">
      <c r="A139" s="17" t="str">
        <f>HYPERLINK("https://my.zakupki.prom.ua/remote/dispatcher/state_purchase_view/41339436", "UA-2023-03-10-004971-a")</f>
        <v>UA-2023-03-10-004971-a</v>
      </c>
      <c r="B139" s="17" t="s">
        <v>435</v>
      </c>
      <c r="C139" s="17" t="s">
        <v>456</v>
      </c>
      <c r="D139" s="13" t="s">
        <v>225</v>
      </c>
      <c r="E139" s="22">
        <v>45020</v>
      </c>
      <c r="F139" s="23">
        <v>138</v>
      </c>
      <c r="G139" s="12">
        <v>110180</v>
      </c>
      <c r="H139" s="12" t="s">
        <v>50</v>
      </c>
      <c r="I139" s="12" t="s">
        <v>51</v>
      </c>
      <c r="J139" s="6">
        <v>36983355</v>
      </c>
      <c r="K139" s="12" t="s">
        <v>530</v>
      </c>
      <c r="L139" s="12" t="s">
        <v>493</v>
      </c>
      <c r="M139" s="13">
        <v>150000</v>
      </c>
    </row>
    <row r="140" spans="1:13" ht="75" x14ac:dyDescent="0.25">
      <c r="A140" s="17" t="str">
        <f>HYPERLINK("https://my.zakupki.prom.ua/remote/dispatcher/state_purchase_view/41860318", "UA-2023-04-06-011439-a")</f>
        <v>UA-2023-04-06-011439-a</v>
      </c>
      <c r="B140" s="17" t="s">
        <v>52</v>
      </c>
      <c r="C140" s="17" t="s">
        <v>457</v>
      </c>
      <c r="D140" s="13" t="s">
        <v>223</v>
      </c>
      <c r="E140" s="22">
        <v>45020</v>
      </c>
      <c r="F140" s="23">
        <v>139</v>
      </c>
      <c r="G140" s="17">
        <v>110150</v>
      </c>
      <c r="H140" s="17" t="s">
        <v>50</v>
      </c>
      <c r="I140" s="17" t="s">
        <v>51</v>
      </c>
      <c r="J140" s="23">
        <v>3126805811</v>
      </c>
      <c r="K140" s="17" t="s">
        <v>323</v>
      </c>
      <c r="L140" s="17" t="s">
        <v>321</v>
      </c>
      <c r="M140" s="18">
        <v>9900</v>
      </c>
    </row>
    <row r="141" spans="1:13" ht="60" x14ac:dyDescent="0.25">
      <c r="A141" s="17" t="str">
        <f>HYPERLINK("https://my.zakupki.prom.ua/remote/dispatcher/state_purchase_view/41878091", "UA-2023-04-07-006871-a")</f>
        <v>UA-2023-04-07-006871-a</v>
      </c>
      <c r="B141" s="17" t="s">
        <v>436</v>
      </c>
      <c r="C141" s="17" t="s">
        <v>458</v>
      </c>
      <c r="D141" s="13" t="s">
        <v>223</v>
      </c>
      <c r="E141" s="22">
        <v>45021</v>
      </c>
      <c r="F141" s="23">
        <v>140</v>
      </c>
      <c r="G141" s="17">
        <v>110150</v>
      </c>
      <c r="H141" s="17" t="s">
        <v>50</v>
      </c>
      <c r="I141" s="17" t="s">
        <v>51</v>
      </c>
      <c r="J141" s="23">
        <v>2517502954</v>
      </c>
      <c r="K141" s="17" t="s">
        <v>531</v>
      </c>
      <c r="L141" s="17" t="s">
        <v>494</v>
      </c>
      <c r="M141" s="18">
        <v>1500</v>
      </c>
    </row>
    <row r="142" spans="1:13" ht="75" x14ac:dyDescent="0.25">
      <c r="A142" s="17" t="str">
        <f>HYPERLINK("https://my.zakupki.prom.ua/remote/dispatcher/state_purchase_view/41876798", "UA-2023-04-07-006253-a")</f>
        <v>UA-2023-04-07-006253-a</v>
      </c>
      <c r="B142" s="17" t="s">
        <v>437</v>
      </c>
      <c r="C142" s="17" t="s">
        <v>459</v>
      </c>
      <c r="D142" s="13" t="s">
        <v>223</v>
      </c>
      <c r="E142" s="22">
        <v>45022</v>
      </c>
      <c r="F142" s="23">
        <v>141</v>
      </c>
      <c r="G142" s="17">
        <v>110150</v>
      </c>
      <c r="H142" s="17" t="s">
        <v>50</v>
      </c>
      <c r="I142" s="17" t="s">
        <v>51</v>
      </c>
      <c r="J142" s="23">
        <v>32490244</v>
      </c>
      <c r="K142" s="17" t="s">
        <v>268</v>
      </c>
      <c r="L142" s="17" t="s">
        <v>495</v>
      </c>
      <c r="M142" s="18">
        <v>3641.4</v>
      </c>
    </row>
    <row r="143" spans="1:13" ht="90" x14ac:dyDescent="0.25">
      <c r="A143" s="17" t="str">
        <f>HYPERLINK("https://my.zakupki.prom.ua/remote/dispatcher/state_purchase_view/41876449", "UA-2023-04-07-006110-a")</f>
        <v>UA-2023-04-07-006110-a</v>
      </c>
      <c r="B143" s="17" t="s">
        <v>239</v>
      </c>
      <c r="C143" s="17" t="s">
        <v>460</v>
      </c>
      <c r="D143" s="13" t="s">
        <v>223</v>
      </c>
      <c r="E143" s="22">
        <v>45022</v>
      </c>
      <c r="F143" s="23">
        <v>142</v>
      </c>
      <c r="G143" s="17">
        <v>110150</v>
      </c>
      <c r="H143" s="17" t="s">
        <v>50</v>
      </c>
      <c r="I143" s="17" t="s">
        <v>51</v>
      </c>
      <c r="J143" s="23">
        <v>32490244</v>
      </c>
      <c r="K143" s="17" t="s">
        <v>268</v>
      </c>
      <c r="L143" s="17" t="s">
        <v>496</v>
      </c>
      <c r="M143" s="18">
        <v>3079.61</v>
      </c>
    </row>
    <row r="144" spans="1:13" ht="90" x14ac:dyDescent="0.25">
      <c r="A144" s="17" t="str">
        <f>HYPERLINK("https://my.zakupki.prom.ua/remote/dispatcher/state_purchase_view/41876973", "UA-2023-04-07-006366-a")</f>
        <v>UA-2023-04-07-006366-a</v>
      </c>
      <c r="B144" s="17" t="s">
        <v>438</v>
      </c>
      <c r="C144" s="17" t="s">
        <v>461</v>
      </c>
      <c r="D144" s="13" t="s">
        <v>223</v>
      </c>
      <c r="E144" s="22">
        <v>45022</v>
      </c>
      <c r="F144" s="23">
        <v>143</v>
      </c>
      <c r="G144" s="17">
        <v>110150</v>
      </c>
      <c r="H144" s="17" t="s">
        <v>50</v>
      </c>
      <c r="I144" s="17" t="s">
        <v>51</v>
      </c>
      <c r="J144" s="23">
        <v>32490244</v>
      </c>
      <c r="K144" s="17" t="s">
        <v>268</v>
      </c>
      <c r="L144" s="17" t="s">
        <v>497</v>
      </c>
      <c r="M144" s="18">
        <v>693</v>
      </c>
    </row>
    <row r="145" spans="1:13" ht="315" x14ac:dyDescent="0.25">
      <c r="A145" s="17" t="str">
        <f>HYPERLINK("https://my.zakupki.prom.ua/remote/dispatcher/state_purchase_view/41877567", "UA-2023-04-07-006637-a")</f>
        <v>UA-2023-04-07-006637-a</v>
      </c>
      <c r="B145" s="17" t="s">
        <v>439</v>
      </c>
      <c r="C145" s="17" t="s">
        <v>462</v>
      </c>
      <c r="D145" s="13" t="s">
        <v>223</v>
      </c>
      <c r="E145" s="22">
        <v>45022</v>
      </c>
      <c r="F145" s="23">
        <v>144</v>
      </c>
      <c r="G145" s="17">
        <v>110150</v>
      </c>
      <c r="H145" s="17" t="s">
        <v>50</v>
      </c>
      <c r="I145" s="17" t="s">
        <v>51</v>
      </c>
      <c r="J145" s="23">
        <v>32490244</v>
      </c>
      <c r="K145" s="17" t="s">
        <v>268</v>
      </c>
      <c r="L145" s="17" t="s">
        <v>498</v>
      </c>
      <c r="M145" s="18">
        <v>48890.93</v>
      </c>
    </row>
    <row r="146" spans="1:13" ht="60" x14ac:dyDescent="0.25">
      <c r="A146" s="17" t="str">
        <f>HYPERLINK("https://my.zakupki.prom.ua/remote/dispatcher/state_purchase_view/41883701", "UA-2023-04-07-009470-a")</f>
        <v>UA-2023-04-07-009470-a</v>
      </c>
      <c r="B146" s="17" t="s">
        <v>440</v>
      </c>
      <c r="C146" s="17" t="s">
        <v>463</v>
      </c>
      <c r="D146" s="13" t="s">
        <v>223</v>
      </c>
      <c r="E146" s="22">
        <v>45022</v>
      </c>
      <c r="F146" s="23">
        <v>145</v>
      </c>
      <c r="G146" s="17">
        <v>113112</v>
      </c>
      <c r="H146" s="17" t="s">
        <v>50</v>
      </c>
      <c r="I146" s="17" t="s">
        <v>51</v>
      </c>
      <c r="J146" s="23">
        <v>3384013751</v>
      </c>
      <c r="K146" s="17" t="s">
        <v>532</v>
      </c>
      <c r="L146" s="17" t="s">
        <v>499</v>
      </c>
      <c r="M146" s="18">
        <v>280</v>
      </c>
    </row>
    <row r="147" spans="1:13" ht="45" x14ac:dyDescent="0.25">
      <c r="A147" s="17" t="str">
        <f>HYPERLINK("https://my.zakupki.prom.ua/remote/dispatcher/state_purchase_view/41883863", "UA-2023-04-07-009573-a")</f>
        <v>UA-2023-04-07-009573-a</v>
      </c>
      <c r="B147" s="17" t="s">
        <v>441</v>
      </c>
      <c r="C147" s="17" t="s">
        <v>464</v>
      </c>
      <c r="D147" s="17" t="s">
        <v>545</v>
      </c>
      <c r="E147" s="22">
        <v>45022</v>
      </c>
      <c r="F147" s="23">
        <v>146</v>
      </c>
      <c r="G147" s="17">
        <v>113112</v>
      </c>
      <c r="H147" s="17" t="s">
        <v>50</v>
      </c>
      <c r="I147" s="17" t="s">
        <v>51</v>
      </c>
      <c r="J147" s="23">
        <v>3384013751</v>
      </c>
      <c r="K147" s="17" t="s">
        <v>532</v>
      </c>
      <c r="L147" s="17" t="s">
        <v>500</v>
      </c>
      <c r="M147" s="18">
        <v>18132.7</v>
      </c>
    </row>
    <row r="148" spans="1:13" ht="60" x14ac:dyDescent="0.25">
      <c r="A148" s="17" t="str">
        <f>HYPERLINK("https://my.zakupki.prom.ua/remote/dispatcher/state_purchase_view/41884190", "UA-2023-04-07-009698-a")</f>
        <v>UA-2023-04-07-009698-a</v>
      </c>
      <c r="B148" s="17" t="s">
        <v>442</v>
      </c>
      <c r="C148" s="17" t="s">
        <v>465</v>
      </c>
      <c r="D148" s="17" t="s">
        <v>545</v>
      </c>
      <c r="E148" s="22">
        <v>45022</v>
      </c>
      <c r="F148" s="23">
        <v>147</v>
      </c>
      <c r="G148" s="17">
        <v>113112</v>
      </c>
      <c r="H148" s="17" t="s">
        <v>50</v>
      </c>
      <c r="I148" s="17" t="s">
        <v>51</v>
      </c>
      <c r="J148" s="23">
        <v>3384013751</v>
      </c>
      <c r="K148" s="17" t="s">
        <v>532</v>
      </c>
      <c r="L148" s="17" t="s">
        <v>501</v>
      </c>
      <c r="M148" s="18">
        <v>2575.3000000000002</v>
      </c>
    </row>
    <row r="149" spans="1:13" ht="45" x14ac:dyDescent="0.25">
      <c r="A149" s="17" t="str">
        <f>HYPERLINK("https://my.zakupki.prom.ua/remote/dispatcher/state_purchase_view/41884366", "UA-2023-04-07-009752-a")</f>
        <v>UA-2023-04-07-009752-a</v>
      </c>
      <c r="B149" s="17" t="s">
        <v>443</v>
      </c>
      <c r="C149" s="17" t="s">
        <v>466</v>
      </c>
      <c r="D149" s="17" t="s">
        <v>545</v>
      </c>
      <c r="E149" s="22">
        <v>45022</v>
      </c>
      <c r="F149" s="23">
        <v>148</v>
      </c>
      <c r="G149" s="17">
        <v>113112</v>
      </c>
      <c r="H149" s="17" t="s">
        <v>50</v>
      </c>
      <c r="I149" s="17" t="s">
        <v>51</v>
      </c>
      <c r="J149" s="23">
        <v>3384013751</v>
      </c>
      <c r="K149" s="17" t="s">
        <v>532</v>
      </c>
      <c r="L149" s="17" t="s">
        <v>502</v>
      </c>
      <c r="M149" s="18">
        <v>4265.8</v>
      </c>
    </row>
    <row r="150" spans="1:13" ht="105" x14ac:dyDescent="0.25">
      <c r="A150" s="17" t="str">
        <f>HYPERLINK("https://my.zakupki.prom.ua/remote/dispatcher/state_purchase_view/41884428", "UA-2023-04-07-009800-a")</f>
        <v>UA-2023-04-07-009800-a</v>
      </c>
      <c r="B150" s="17" t="s">
        <v>444</v>
      </c>
      <c r="C150" s="17" t="s">
        <v>467</v>
      </c>
      <c r="D150" s="17" t="s">
        <v>545</v>
      </c>
      <c r="E150" s="22">
        <v>45022</v>
      </c>
      <c r="F150" s="23">
        <v>149</v>
      </c>
      <c r="G150" s="17">
        <v>113112</v>
      </c>
      <c r="H150" s="17" t="s">
        <v>50</v>
      </c>
      <c r="I150" s="17" t="s">
        <v>51</v>
      </c>
      <c r="J150" s="23">
        <v>3384013751</v>
      </c>
      <c r="K150" s="17" t="s">
        <v>532</v>
      </c>
      <c r="L150" s="17" t="s">
        <v>503</v>
      </c>
      <c r="M150" s="18">
        <v>4361</v>
      </c>
    </row>
    <row r="151" spans="1:13" ht="90" x14ac:dyDescent="0.25">
      <c r="A151" s="17" t="str">
        <f>HYPERLINK("https://my.zakupki.prom.ua/remote/dispatcher/state_purchase_view/41884595", "UA-2023-04-07-009868-a")</f>
        <v>UA-2023-04-07-009868-a</v>
      </c>
      <c r="B151" s="17" t="s">
        <v>445</v>
      </c>
      <c r="C151" s="17" t="s">
        <v>468</v>
      </c>
      <c r="D151" s="17" t="s">
        <v>545</v>
      </c>
      <c r="E151" s="22">
        <v>45022</v>
      </c>
      <c r="F151" s="23">
        <v>150</v>
      </c>
      <c r="G151" s="17">
        <v>113112</v>
      </c>
      <c r="H151" s="17" t="s">
        <v>50</v>
      </c>
      <c r="I151" s="17" t="s">
        <v>51</v>
      </c>
      <c r="J151" s="23">
        <v>3384013751</v>
      </c>
      <c r="K151" s="17" t="s">
        <v>532</v>
      </c>
      <c r="L151" s="17" t="s">
        <v>504</v>
      </c>
      <c r="M151" s="18">
        <v>6881</v>
      </c>
    </row>
    <row r="152" spans="1:13" ht="45" x14ac:dyDescent="0.25">
      <c r="A152" s="17" t="str">
        <f>HYPERLINK("https://my.zakupki.prom.ua/remote/dispatcher/state_purchase_view/41884694", "UA-2023-04-07-009920-a")</f>
        <v>UA-2023-04-07-009920-a</v>
      </c>
      <c r="B152" s="17" t="s">
        <v>446</v>
      </c>
      <c r="C152" s="17" t="s">
        <v>469</v>
      </c>
      <c r="D152" s="17" t="s">
        <v>545</v>
      </c>
      <c r="E152" s="22">
        <v>45022</v>
      </c>
      <c r="F152" s="23">
        <v>151</v>
      </c>
      <c r="G152" s="17">
        <v>113112</v>
      </c>
      <c r="H152" s="17" t="s">
        <v>50</v>
      </c>
      <c r="I152" s="17" t="s">
        <v>51</v>
      </c>
      <c r="J152" s="23">
        <v>3384013751</v>
      </c>
      <c r="K152" s="17" t="s">
        <v>532</v>
      </c>
      <c r="L152" s="17" t="s">
        <v>505</v>
      </c>
      <c r="M152" s="18">
        <v>6909</v>
      </c>
    </row>
    <row r="153" spans="1:13" ht="45" x14ac:dyDescent="0.25">
      <c r="A153" s="17" t="str">
        <f>HYPERLINK("https://my.zakupki.prom.ua/remote/dispatcher/state_purchase_view/41884754", "UA-2023-04-07-009961-a")</f>
        <v>UA-2023-04-07-009961-a</v>
      </c>
      <c r="B153" s="17" t="s">
        <v>447</v>
      </c>
      <c r="C153" s="17" t="s">
        <v>470</v>
      </c>
      <c r="D153" s="17" t="s">
        <v>545</v>
      </c>
      <c r="E153" s="22">
        <v>45022</v>
      </c>
      <c r="F153" s="23">
        <v>152</v>
      </c>
      <c r="G153" s="17">
        <v>113112</v>
      </c>
      <c r="H153" s="17" t="s">
        <v>50</v>
      </c>
      <c r="I153" s="17" t="s">
        <v>51</v>
      </c>
      <c r="J153" s="23">
        <v>3384013751</v>
      </c>
      <c r="K153" s="17" t="s">
        <v>532</v>
      </c>
      <c r="L153" s="17" t="s">
        <v>506</v>
      </c>
      <c r="M153" s="18">
        <v>4605.3</v>
      </c>
    </row>
    <row r="154" spans="1:13" ht="120" x14ac:dyDescent="0.25">
      <c r="A154" s="17" t="str">
        <f>HYPERLINK("https://my.zakupki.prom.ua/remote/dispatcher/state_purchase_view/41981897", "UA-2023-04-13-005024-a")</f>
        <v>UA-2023-04-13-005024-a</v>
      </c>
      <c r="B154" s="17" t="s">
        <v>318</v>
      </c>
      <c r="C154" s="17" t="s">
        <v>471</v>
      </c>
      <c r="D154" s="35" t="s">
        <v>544</v>
      </c>
      <c r="E154" s="22">
        <v>45022</v>
      </c>
      <c r="F154" s="23">
        <v>153</v>
      </c>
      <c r="G154" s="12">
        <v>110180</v>
      </c>
      <c r="H154" s="12" t="s">
        <v>50</v>
      </c>
      <c r="I154" s="12" t="s">
        <v>51</v>
      </c>
      <c r="J154" s="6">
        <v>35501211</v>
      </c>
      <c r="K154" s="12" t="s">
        <v>533</v>
      </c>
      <c r="L154" s="12" t="s">
        <v>507</v>
      </c>
      <c r="M154" s="13">
        <v>16000</v>
      </c>
    </row>
    <row r="155" spans="1:13" ht="135" x14ac:dyDescent="0.25">
      <c r="A155" s="17" t="str">
        <f>HYPERLINK("https://my.zakupki.prom.ua/remote/dispatcher/state_purchase_view/41982033", "UA-2023-04-13-005107-a")</f>
        <v>UA-2023-04-13-005107-a</v>
      </c>
      <c r="B155" s="17" t="s">
        <v>31</v>
      </c>
      <c r="C155" s="17" t="s">
        <v>472</v>
      </c>
      <c r="D155" s="13" t="s">
        <v>225</v>
      </c>
      <c r="E155" s="22">
        <v>45022</v>
      </c>
      <c r="F155" s="23">
        <v>155</v>
      </c>
      <c r="G155" s="17">
        <v>117693</v>
      </c>
      <c r="H155" s="17" t="s">
        <v>50</v>
      </c>
      <c r="I155" s="17" t="s">
        <v>51</v>
      </c>
      <c r="J155" s="23">
        <v>32805994</v>
      </c>
      <c r="K155" s="17" t="s">
        <v>534</v>
      </c>
      <c r="L155" s="17" t="s">
        <v>508</v>
      </c>
      <c r="M155" s="18">
        <v>6811</v>
      </c>
    </row>
    <row r="156" spans="1:13" ht="105" x14ac:dyDescent="0.25">
      <c r="A156" s="17" t="str">
        <f>HYPERLINK("https://my.zakupki.prom.ua/remote/dispatcher/state_purchase_view/41982424", "UA-2023-04-13-005259-a")</f>
        <v>UA-2023-04-13-005259-a</v>
      </c>
      <c r="B156" s="17" t="s">
        <v>448</v>
      </c>
      <c r="C156" s="17" t="s">
        <v>473</v>
      </c>
      <c r="D156" s="13" t="s">
        <v>225</v>
      </c>
      <c r="E156" s="22">
        <v>45022</v>
      </c>
      <c r="F156" s="23">
        <v>156</v>
      </c>
      <c r="G156" s="39">
        <v>117693</v>
      </c>
      <c r="H156" s="17" t="s">
        <v>50</v>
      </c>
      <c r="I156" s="17" t="s">
        <v>51</v>
      </c>
      <c r="J156" s="23">
        <v>33932580</v>
      </c>
      <c r="K156" s="17" t="s">
        <v>535</v>
      </c>
      <c r="L156" s="17" t="s">
        <v>509</v>
      </c>
      <c r="M156" s="18">
        <v>86821.28</v>
      </c>
    </row>
    <row r="157" spans="1:13" ht="90" x14ac:dyDescent="0.25">
      <c r="A157" s="17" t="str">
        <f>HYPERLINK("https://my.zakupki.prom.ua/remote/dispatcher/state_purchase_view/41981491", "UA-2023-04-13-004843-a")</f>
        <v>UA-2023-04-13-004843-a</v>
      </c>
      <c r="B157" s="17" t="s">
        <v>449</v>
      </c>
      <c r="C157" s="17" t="s">
        <v>474</v>
      </c>
      <c r="D157" s="13" t="s">
        <v>225</v>
      </c>
      <c r="E157" s="22">
        <v>45027</v>
      </c>
      <c r="F157" s="23">
        <v>157</v>
      </c>
      <c r="G157" s="39">
        <v>110150</v>
      </c>
      <c r="H157" s="17" t="s">
        <v>50</v>
      </c>
      <c r="I157" s="17" t="s">
        <v>51</v>
      </c>
      <c r="J157" s="23">
        <v>21560045</v>
      </c>
      <c r="K157" s="17" t="s">
        <v>536</v>
      </c>
      <c r="L157" s="17" t="s">
        <v>510</v>
      </c>
      <c r="M157" s="18">
        <v>95000</v>
      </c>
    </row>
    <row r="158" spans="1:13" ht="135" x14ac:dyDescent="0.25">
      <c r="A158" s="17" t="str">
        <f>HYPERLINK("https://my.zakupki.prom.ua/remote/dispatcher/state_purchase_view/41618203", "UA-2023-03-24-003520-a")</f>
        <v>UA-2023-03-24-003520-a</v>
      </c>
      <c r="B158" s="17" t="s">
        <v>450</v>
      </c>
      <c r="C158" s="17" t="s">
        <v>475</v>
      </c>
      <c r="D158" s="13" t="s">
        <v>225</v>
      </c>
      <c r="E158" s="22">
        <v>45027</v>
      </c>
      <c r="F158" s="23">
        <v>158</v>
      </c>
      <c r="G158" s="40">
        <v>110150</v>
      </c>
      <c r="H158" s="17" t="s">
        <v>50</v>
      </c>
      <c r="I158" s="17" t="s">
        <v>51</v>
      </c>
      <c r="J158" s="23">
        <v>3114410275</v>
      </c>
      <c r="K158" s="17" t="s">
        <v>537</v>
      </c>
      <c r="L158" s="17" t="s">
        <v>511</v>
      </c>
      <c r="M158" s="18">
        <v>193680</v>
      </c>
    </row>
    <row r="159" spans="1:13" ht="75" x14ac:dyDescent="0.25">
      <c r="A159" s="17" t="str">
        <f>HYPERLINK("https://my.zakupki.prom.ua/remote/dispatcher/state_purchase_view/41940109", "UA-2023-04-11-010755-a")</f>
        <v>UA-2023-04-11-010755-a</v>
      </c>
      <c r="B159" s="17" t="s">
        <v>451</v>
      </c>
      <c r="C159" s="17" t="s">
        <v>476</v>
      </c>
      <c r="D159" s="13" t="s">
        <v>223</v>
      </c>
      <c r="E159" s="22">
        <v>45027</v>
      </c>
      <c r="F159" s="23">
        <v>159</v>
      </c>
      <c r="G159" s="40">
        <v>110150</v>
      </c>
      <c r="H159" s="17" t="s">
        <v>50</v>
      </c>
      <c r="I159" s="17" t="s">
        <v>51</v>
      </c>
      <c r="J159" s="23">
        <v>39000921</v>
      </c>
      <c r="K159" s="17" t="s">
        <v>538</v>
      </c>
      <c r="L159" s="17" t="s">
        <v>512</v>
      </c>
      <c r="M159" s="18">
        <v>49370</v>
      </c>
    </row>
    <row r="160" spans="1:13" ht="90" x14ac:dyDescent="0.25">
      <c r="A160" s="17" t="str">
        <f>HYPERLINK("https://my.zakupki.prom.ua/remote/dispatcher/state_purchase_view/42053675", "UA-2023-04-18-009554-a")</f>
        <v>UA-2023-04-18-009554-a</v>
      </c>
      <c r="B160" s="17" t="s">
        <v>332</v>
      </c>
      <c r="C160" s="17" t="s">
        <v>477</v>
      </c>
      <c r="D160" s="37" t="s">
        <v>546</v>
      </c>
      <c r="E160" s="22">
        <v>45028</v>
      </c>
      <c r="F160" s="23">
        <v>160</v>
      </c>
      <c r="G160" s="40">
        <v>118240</v>
      </c>
      <c r="H160" s="17" t="s">
        <v>50</v>
      </c>
      <c r="I160" s="17" t="s">
        <v>51</v>
      </c>
      <c r="J160" s="23">
        <v>43094301</v>
      </c>
      <c r="K160" s="17" t="s">
        <v>333</v>
      </c>
      <c r="L160" s="17" t="s">
        <v>513</v>
      </c>
      <c r="M160" s="18">
        <v>609998</v>
      </c>
    </row>
    <row r="161" spans="1:13" ht="135" x14ac:dyDescent="0.25">
      <c r="A161" s="17" t="str">
        <f>HYPERLINK("https://my.zakupki.prom.ua/remote/dispatcher/state_purchase_view/42130497", "UA-2023-04-21-010534-a")</f>
        <v>UA-2023-04-21-010534-a</v>
      </c>
      <c r="B161" s="17" t="s">
        <v>31</v>
      </c>
      <c r="C161" s="17" t="s">
        <v>478</v>
      </c>
      <c r="D161" s="13" t="s">
        <v>225</v>
      </c>
      <c r="E161" s="22">
        <v>45033</v>
      </c>
      <c r="F161" s="23">
        <v>161</v>
      </c>
      <c r="G161" s="40">
        <v>118230</v>
      </c>
      <c r="H161" s="17" t="s">
        <v>50</v>
      </c>
      <c r="I161" s="17" t="s">
        <v>51</v>
      </c>
      <c r="J161" s="23">
        <v>44649444</v>
      </c>
      <c r="K161" s="17" t="s">
        <v>355</v>
      </c>
      <c r="L161" s="17" t="s">
        <v>514</v>
      </c>
      <c r="M161" s="18">
        <v>4442</v>
      </c>
    </row>
    <row r="162" spans="1:13" ht="180" x14ac:dyDescent="0.25">
      <c r="A162" s="17" t="str">
        <f>HYPERLINK("https://my.zakupki.prom.ua/remote/dispatcher/state_purchase_view/42184394", "UA-2023-04-25-011230-a")</f>
        <v>UA-2023-04-25-011230-a</v>
      </c>
      <c r="B162" s="17" t="s">
        <v>31</v>
      </c>
      <c r="C162" s="17" t="s">
        <v>479</v>
      </c>
      <c r="D162" s="13" t="s">
        <v>225</v>
      </c>
      <c r="E162" s="22">
        <v>45033</v>
      </c>
      <c r="F162" s="23">
        <v>162</v>
      </c>
      <c r="G162" s="40">
        <v>118230</v>
      </c>
      <c r="H162" s="17" t="s">
        <v>50</v>
      </c>
      <c r="I162" s="17" t="s">
        <v>51</v>
      </c>
      <c r="J162" s="23">
        <v>2322307169</v>
      </c>
      <c r="K162" s="17" t="s">
        <v>539</v>
      </c>
      <c r="L162" s="17" t="s">
        <v>515</v>
      </c>
      <c r="M162" s="18">
        <v>14758</v>
      </c>
    </row>
    <row r="163" spans="1:13" ht="165" x14ac:dyDescent="0.25">
      <c r="A163" s="17" t="str">
        <f>HYPERLINK("https://my.zakupki.prom.ua/remote/dispatcher/state_purchase_view/42183159", "UA-2023-04-25-010679-a")</f>
        <v>UA-2023-04-25-010679-a</v>
      </c>
      <c r="B163" s="17" t="s">
        <v>31</v>
      </c>
      <c r="C163" s="17" t="s">
        <v>480</v>
      </c>
      <c r="D163" s="13" t="s">
        <v>225</v>
      </c>
      <c r="E163" s="22">
        <v>45033</v>
      </c>
      <c r="F163" s="23">
        <v>163</v>
      </c>
      <c r="G163" s="40">
        <v>118230</v>
      </c>
      <c r="H163" s="17" t="s">
        <v>50</v>
      </c>
      <c r="I163" s="17" t="s">
        <v>51</v>
      </c>
      <c r="J163" s="23">
        <v>2322307169</v>
      </c>
      <c r="K163" s="17" t="s">
        <v>539</v>
      </c>
      <c r="L163" s="17" t="s">
        <v>516</v>
      </c>
      <c r="M163" s="18">
        <v>5376</v>
      </c>
    </row>
    <row r="164" spans="1:13" ht="60" x14ac:dyDescent="0.25">
      <c r="A164" s="17" t="str">
        <f>HYPERLINK("https://my.zakupki.prom.ua/remote/dispatcher/state_purchase_view/42060198", "UA-2023-04-19-002324-a")</f>
        <v>UA-2023-04-19-002324-a</v>
      </c>
      <c r="B164" s="17" t="s">
        <v>452</v>
      </c>
      <c r="C164" s="17" t="s">
        <v>481</v>
      </c>
      <c r="D164" s="13" t="s">
        <v>223</v>
      </c>
      <c r="E164" s="22">
        <v>45033</v>
      </c>
      <c r="F164" s="23">
        <v>164</v>
      </c>
      <c r="G164" s="40">
        <v>110150</v>
      </c>
      <c r="H164" s="17" t="s">
        <v>50</v>
      </c>
      <c r="I164" s="17" t="s">
        <v>51</v>
      </c>
      <c r="J164" s="23">
        <v>39000921</v>
      </c>
      <c r="K164" s="17" t="s">
        <v>538</v>
      </c>
      <c r="L164" s="17" t="s">
        <v>517</v>
      </c>
      <c r="M164" s="18">
        <v>50610</v>
      </c>
    </row>
    <row r="165" spans="1:13" ht="60" x14ac:dyDescent="0.25">
      <c r="A165" s="17" t="str">
        <f>HYPERLINK("https://my.zakupki.prom.ua/remote/dispatcher/state_purchase_view/42061190", "UA-2023-04-19-002768-a")</f>
        <v>UA-2023-04-19-002768-a</v>
      </c>
      <c r="B165" s="17" t="s">
        <v>327</v>
      </c>
      <c r="C165" s="17" t="s">
        <v>482</v>
      </c>
      <c r="D165" s="13" t="s">
        <v>223</v>
      </c>
      <c r="E165" s="22">
        <v>45033</v>
      </c>
      <c r="F165" s="23">
        <v>165</v>
      </c>
      <c r="G165" s="40">
        <v>110150</v>
      </c>
      <c r="H165" s="17" t="s">
        <v>50</v>
      </c>
      <c r="I165" s="17" t="s">
        <v>51</v>
      </c>
      <c r="J165" s="23">
        <v>39000921</v>
      </c>
      <c r="K165" s="17" t="s">
        <v>538</v>
      </c>
      <c r="L165" s="17" t="s">
        <v>518</v>
      </c>
      <c r="M165" s="18">
        <v>14508</v>
      </c>
    </row>
    <row r="166" spans="1:13" ht="90" x14ac:dyDescent="0.25">
      <c r="A166" s="17" t="str">
        <f>HYPERLINK("https://my.zakupki.prom.ua/remote/dispatcher/state_purchase_view/42214586", "UA-2023-04-26-012659-a")</f>
        <v>UA-2023-04-26-012659-a</v>
      </c>
      <c r="B166" s="17" t="s">
        <v>45</v>
      </c>
      <c r="C166" s="17" t="s">
        <v>483</v>
      </c>
      <c r="D166" s="13" t="s">
        <v>225</v>
      </c>
      <c r="E166" s="22">
        <v>45035</v>
      </c>
      <c r="F166" s="23">
        <v>166</v>
      </c>
      <c r="G166" s="40">
        <v>118230</v>
      </c>
      <c r="H166" s="17" t="s">
        <v>50</v>
      </c>
      <c r="I166" s="17" t="s">
        <v>51</v>
      </c>
      <c r="J166" s="23">
        <v>3211508674</v>
      </c>
      <c r="K166" s="17" t="s">
        <v>540</v>
      </c>
      <c r="L166" s="17" t="s">
        <v>519</v>
      </c>
      <c r="M166" s="18">
        <v>373186.53</v>
      </c>
    </row>
    <row r="167" spans="1:13" ht="150" x14ac:dyDescent="0.25">
      <c r="A167" s="17" t="str">
        <f>HYPERLINK("https://my.zakupki.prom.ua/remote/dispatcher/state_purchase_view/42223452", "UA-2023-04-27-003544-a")</f>
        <v>UA-2023-04-27-003544-a</v>
      </c>
      <c r="B167" s="17" t="s">
        <v>31</v>
      </c>
      <c r="C167" s="17" t="s">
        <v>484</v>
      </c>
      <c r="D167" s="13" t="s">
        <v>225</v>
      </c>
      <c r="E167" s="22">
        <v>45036</v>
      </c>
      <c r="F167" s="23">
        <v>167</v>
      </c>
      <c r="G167" s="40">
        <v>118230</v>
      </c>
      <c r="H167" s="17" t="s">
        <v>50</v>
      </c>
      <c r="I167" s="17" t="s">
        <v>51</v>
      </c>
      <c r="J167" s="23">
        <v>2461019017</v>
      </c>
      <c r="K167" s="17" t="s">
        <v>70</v>
      </c>
      <c r="L167" s="17" t="s">
        <v>520</v>
      </c>
      <c r="M167" s="18">
        <v>4396.53</v>
      </c>
    </row>
    <row r="168" spans="1:13" ht="120" x14ac:dyDescent="0.25">
      <c r="A168" s="17" t="str">
        <f>HYPERLINK("https://my.zakupki.prom.ua/remote/dispatcher/state_purchase_view/42283558", "UA-2023-05-01-008032-a")</f>
        <v>UA-2023-05-01-008032-a</v>
      </c>
      <c r="B168" s="17" t="s">
        <v>45</v>
      </c>
      <c r="C168" s="17" t="s">
        <v>485</v>
      </c>
      <c r="D168" s="13" t="s">
        <v>225</v>
      </c>
      <c r="E168" s="22">
        <v>45037</v>
      </c>
      <c r="F168" s="23">
        <v>168</v>
      </c>
      <c r="G168" s="40">
        <v>118230</v>
      </c>
      <c r="H168" s="17" t="s">
        <v>50</v>
      </c>
      <c r="I168" s="17" t="s">
        <v>51</v>
      </c>
      <c r="J168" s="23">
        <v>2765203477</v>
      </c>
      <c r="K168" s="17" t="s">
        <v>261</v>
      </c>
      <c r="L168" s="17" t="s">
        <v>521</v>
      </c>
      <c r="M168" s="18">
        <v>455123</v>
      </c>
    </row>
    <row r="169" spans="1:13" ht="105" x14ac:dyDescent="0.25">
      <c r="A169" s="17" t="str">
        <f>HYPERLINK("https://my.zakupki.prom.ua/remote/dispatcher/state_purchase_view/42284689", "UA-2023-05-01-008605-a")</f>
        <v>UA-2023-05-01-008605-a</v>
      </c>
      <c r="B169" s="17" t="s">
        <v>45</v>
      </c>
      <c r="C169" s="17" t="s">
        <v>485</v>
      </c>
      <c r="D169" s="13" t="s">
        <v>225</v>
      </c>
      <c r="E169" s="22">
        <v>45037</v>
      </c>
      <c r="F169" s="23">
        <v>169</v>
      </c>
      <c r="G169" s="40">
        <v>118230</v>
      </c>
      <c r="H169" s="17" t="s">
        <v>50</v>
      </c>
      <c r="I169" s="17" t="s">
        <v>51</v>
      </c>
      <c r="J169" s="23">
        <v>2765203477</v>
      </c>
      <c r="K169" s="17" t="s">
        <v>261</v>
      </c>
      <c r="L169" s="17" t="s">
        <v>522</v>
      </c>
      <c r="M169" s="18">
        <v>531016</v>
      </c>
    </row>
    <row r="170" spans="1:13" ht="195" x14ac:dyDescent="0.25">
      <c r="A170" s="17" t="str">
        <f>HYPERLINK("https://my.zakupki.prom.ua/remote/dispatcher/state_purchase_view/42285406", "UA-2023-05-01-008941-a")</f>
        <v>UA-2023-05-01-008941-a</v>
      </c>
      <c r="B170" s="17" t="s">
        <v>31</v>
      </c>
      <c r="C170" s="17" t="s">
        <v>486</v>
      </c>
      <c r="D170" s="13" t="s">
        <v>225</v>
      </c>
      <c r="E170" s="22">
        <v>45037</v>
      </c>
      <c r="F170" s="23">
        <v>170</v>
      </c>
      <c r="G170" s="40">
        <v>118230</v>
      </c>
      <c r="H170" s="17" t="s">
        <v>50</v>
      </c>
      <c r="I170" s="17" t="s">
        <v>51</v>
      </c>
      <c r="J170" s="23">
        <v>2461019017</v>
      </c>
      <c r="K170" s="17" t="s">
        <v>70</v>
      </c>
      <c r="L170" s="17" t="s">
        <v>523</v>
      </c>
      <c r="M170" s="18">
        <v>6255.74</v>
      </c>
    </row>
    <row r="171" spans="1:13" ht="180" x14ac:dyDescent="0.25">
      <c r="A171" s="17" t="str">
        <f>HYPERLINK("https://my.zakupki.prom.ua/remote/dispatcher/state_purchase_view/42284837", "UA-2023-05-01-008697-a")</f>
        <v>UA-2023-05-01-008697-a</v>
      </c>
      <c r="B171" s="17" t="s">
        <v>31</v>
      </c>
      <c r="C171" s="17" t="s">
        <v>487</v>
      </c>
      <c r="D171" s="13" t="s">
        <v>225</v>
      </c>
      <c r="E171" s="22">
        <v>45037</v>
      </c>
      <c r="F171" s="23">
        <v>171</v>
      </c>
      <c r="G171" s="40">
        <v>118230</v>
      </c>
      <c r="H171" s="17" t="s">
        <v>50</v>
      </c>
      <c r="I171" s="17" t="s">
        <v>51</v>
      </c>
      <c r="J171" s="23">
        <v>2461019017</v>
      </c>
      <c r="K171" s="17" t="s">
        <v>70</v>
      </c>
      <c r="L171" s="17" t="s">
        <v>524</v>
      </c>
      <c r="M171" s="18">
        <v>6943.35</v>
      </c>
    </row>
    <row r="172" spans="1:13" ht="105" x14ac:dyDescent="0.25">
      <c r="A172" s="17" t="str">
        <f>HYPERLINK("https://my.zakupki.prom.ua/remote/dispatcher/state_purchase_view/42156949", "UA-2023-04-24-010003-a")</f>
        <v>UA-2023-04-24-010003-a</v>
      </c>
      <c r="B172" s="17" t="s">
        <v>453</v>
      </c>
      <c r="C172" s="17" t="s">
        <v>488</v>
      </c>
      <c r="D172" s="13" t="s">
        <v>225</v>
      </c>
      <c r="E172" s="22">
        <v>45037</v>
      </c>
      <c r="F172" s="23">
        <v>172</v>
      </c>
      <c r="G172" s="40">
        <v>110150</v>
      </c>
      <c r="H172" s="17" t="s">
        <v>50</v>
      </c>
      <c r="I172" s="17" t="s">
        <v>51</v>
      </c>
      <c r="J172" s="23">
        <v>32348248</v>
      </c>
      <c r="K172" s="17" t="s">
        <v>541</v>
      </c>
      <c r="L172" s="17" t="s">
        <v>525</v>
      </c>
      <c r="M172" s="18">
        <v>6000</v>
      </c>
    </row>
    <row r="173" spans="1:13" ht="255" x14ac:dyDescent="0.25">
      <c r="A173" s="17" t="str">
        <f>HYPERLINK("https://my.zakupki.prom.ua/remote/dispatcher/state_purchase_view/42185508", "UA-2023-04-25-011752-a")</f>
        <v>UA-2023-04-25-011752-a</v>
      </c>
      <c r="B173" s="17" t="s">
        <v>39</v>
      </c>
      <c r="C173" s="17" t="s">
        <v>489</v>
      </c>
      <c r="D173" s="13" t="s">
        <v>225</v>
      </c>
      <c r="E173" s="22">
        <v>45037</v>
      </c>
      <c r="F173" s="23">
        <v>173</v>
      </c>
      <c r="G173" s="40">
        <v>110150</v>
      </c>
      <c r="H173" s="17" t="s">
        <v>50</v>
      </c>
      <c r="I173" s="17" t="s">
        <v>51</v>
      </c>
      <c r="J173" s="23">
        <v>32348248</v>
      </c>
      <c r="K173" s="17" t="s">
        <v>541</v>
      </c>
      <c r="L173" s="17" t="s">
        <v>526</v>
      </c>
      <c r="M173" s="18">
        <v>75263.88</v>
      </c>
    </row>
    <row r="174" spans="1:13" ht="150" x14ac:dyDescent="0.25">
      <c r="A174" s="17" t="str">
        <f>HYPERLINK("https://my.zakupki.prom.ua/remote/dispatcher/state_purchase_view/41814021", "UA-2023-04-05-002974-a")</f>
        <v>UA-2023-04-05-002974-a</v>
      </c>
      <c r="B174" s="17" t="s">
        <v>435</v>
      </c>
      <c r="C174" s="17" t="s">
        <v>456</v>
      </c>
      <c r="D174" s="13" t="s">
        <v>225</v>
      </c>
      <c r="E174" s="22">
        <v>45037</v>
      </c>
      <c r="F174" s="23">
        <v>174</v>
      </c>
      <c r="G174" s="12">
        <v>110180</v>
      </c>
      <c r="H174" s="12" t="s">
        <v>50</v>
      </c>
      <c r="I174" s="12" t="s">
        <v>51</v>
      </c>
      <c r="J174" s="6">
        <v>25073559</v>
      </c>
      <c r="K174" s="12" t="s">
        <v>88</v>
      </c>
      <c r="L174" s="12" t="s">
        <v>493</v>
      </c>
      <c r="M174" s="13">
        <v>150000</v>
      </c>
    </row>
    <row r="175" spans="1:13" ht="90" x14ac:dyDescent="0.25">
      <c r="A175" s="17" t="str">
        <f>HYPERLINK("https://my.zakupki.prom.ua/remote/dispatcher/state_purchase_view/42170648", "UA-2023-04-25-004980-a")</f>
        <v>UA-2023-04-25-004980-a</v>
      </c>
      <c r="B175" s="17" t="s">
        <v>30</v>
      </c>
      <c r="C175" s="17" t="s">
        <v>339</v>
      </c>
      <c r="D175" s="13" t="s">
        <v>225</v>
      </c>
      <c r="E175" s="22">
        <v>45037</v>
      </c>
      <c r="F175" s="23">
        <v>175</v>
      </c>
      <c r="G175" s="40">
        <v>110180</v>
      </c>
      <c r="H175" s="12" t="s">
        <v>50</v>
      </c>
      <c r="I175" s="12" t="s">
        <v>51</v>
      </c>
      <c r="J175" s="6">
        <v>3227406316</v>
      </c>
      <c r="K175" s="12" t="s">
        <v>82</v>
      </c>
      <c r="L175" s="12" t="s">
        <v>338</v>
      </c>
      <c r="M175" s="13">
        <v>12000</v>
      </c>
    </row>
    <row r="176" spans="1:13" s="4" customFormat="1" ht="75" x14ac:dyDescent="0.25">
      <c r="A176" s="12" t="s">
        <v>547</v>
      </c>
      <c r="B176" s="12" t="s">
        <v>45</v>
      </c>
      <c r="C176" s="12" t="s">
        <v>105</v>
      </c>
      <c r="D176" s="13" t="s">
        <v>225</v>
      </c>
      <c r="E176" s="14">
        <v>45040</v>
      </c>
      <c r="F176" s="6">
        <v>176</v>
      </c>
      <c r="G176" s="6">
        <v>118230</v>
      </c>
      <c r="H176" s="12" t="s">
        <v>50</v>
      </c>
      <c r="I176" s="12" t="s">
        <v>51</v>
      </c>
      <c r="J176" s="12" t="s">
        <v>99</v>
      </c>
      <c r="K176" s="12" t="s">
        <v>100</v>
      </c>
      <c r="L176" s="12" t="s">
        <v>178</v>
      </c>
      <c r="M176" s="13">
        <v>598405.19999999995</v>
      </c>
    </row>
    <row r="177" spans="1:13" s="4" customFormat="1" ht="90" x14ac:dyDescent="0.25">
      <c r="A177" s="17" t="s">
        <v>548</v>
      </c>
      <c r="B177" s="17" t="s">
        <v>362</v>
      </c>
      <c r="C177" s="17" t="s">
        <v>361</v>
      </c>
      <c r="D177" s="13" t="s">
        <v>225</v>
      </c>
      <c r="E177" s="14">
        <v>45040</v>
      </c>
      <c r="F177" s="23">
        <v>177</v>
      </c>
      <c r="G177" s="33">
        <v>118230</v>
      </c>
      <c r="H177" s="17" t="s">
        <v>50</v>
      </c>
      <c r="I177" s="17" t="s">
        <v>51</v>
      </c>
      <c r="J177" s="23">
        <v>2984509254</v>
      </c>
      <c r="K177" s="17" t="s">
        <v>363</v>
      </c>
      <c r="L177" s="17" t="s">
        <v>364</v>
      </c>
      <c r="M177" s="18">
        <v>208217.34</v>
      </c>
    </row>
    <row r="178" spans="1:13" s="4" customFormat="1" ht="75" x14ac:dyDescent="0.25">
      <c r="A178" s="17" t="s">
        <v>229</v>
      </c>
      <c r="B178" s="17"/>
      <c r="C178" s="17"/>
      <c r="D178" s="13" t="s">
        <v>225</v>
      </c>
      <c r="E178" s="14">
        <v>45040</v>
      </c>
      <c r="F178" s="23">
        <v>178</v>
      </c>
      <c r="G178" s="40">
        <v>117640</v>
      </c>
      <c r="H178" s="17" t="s">
        <v>50</v>
      </c>
      <c r="I178" s="17" t="s">
        <v>51</v>
      </c>
      <c r="J178" s="23">
        <v>41845629</v>
      </c>
      <c r="K178" s="17" t="s">
        <v>549</v>
      </c>
      <c r="L178" s="17"/>
      <c r="M178" s="18">
        <v>182520.39</v>
      </c>
    </row>
    <row r="179" spans="1:13" ht="90" x14ac:dyDescent="0.25">
      <c r="A179" s="17" t="str">
        <f>HYPERLINK("https://my.zakupki.prom.ua/remote/dispatcher/state_purchase_view/42269938", "UA-2023-05-01-001647-a")</f>
        <v>UA-2023-05-01-001647-a</v>
      </c>
      <c r="B179" s="17" t="s">
        <v>332</v>
      </c>
      <c r="C179" s="17" t="s">
        <v>490</v>
      </c>
      <c r="D179" s="37" t="s">
        <v>546</v>
      </c>
      <c r="E179" s="22">
        <v>45041</v>
      </c>
      <c r="F179" s="23">
        <v>179</v>
      </c>
      <c r="G179" s="12">
        <v>118230</v>
      </c>
      <c r="H179" s="17" t="s">
        <v>50</v>
      </c>
      <c r="I179" s="17" t="s">
        <v>51</v>
      </c>
      <c r="J179" s="23">
        <v>43094301</v>
      </c>
      <c r="K179" s="17" t="s">
        <v>333</v>
      </c>
      <c r="L179" s="17" t="s">
        <v>366</v>
      </c>
      <c r="M179" s="18">
        <v>2380000</v>
      </c>
    </row>
    <row r="180" spans="1:13" ht="120" x14ac:dyDescent="0.25">
      <c r="A180" s="17" t="str">
        <f>HYPERLINK("https://my.zakupki.prom.ua/remote/dispatcher/state_purchase_view/41778722", "UA-2023-04-03-011171-a")</f>
        <v>UA-2023-04-03-011171-a</v>
      </c>
      <c r="B180" s="17" t="s">
        <v>46</v>
      </c>
      <c r="C180" s="17" t="s">
        <v>43</v>
      </c>
      <c r="D180" s="13" t="s">
        <v>223</v>
      </c>
      <c r="E180" s="22">
        <v>45042</v>
      </c>
      <c r="F180" s="23">
        <v>180</v>
      </c>
      <c r="G180" s="41" t="s">
        <v>935</v>
      </c>
      <c r="H180" s="17" t="s">
        <v>50</v>
      </c>
      <c r="I180" s="17" t="s">
        <v>51</v>
      </c>
      <c r="J180" s="23">
        <v>40956872</v>
      </c>
      <c r="K180" s="17" t="s">
        <v>96</v>
      </c>
      <c r="L180" s="17" t="s">
        <v>527</v>
      </c>
      <c r="M180" s="18" t="s">
        <v>936</v>
      </c>
    </row>
    <row r="181" spans="1:13" s="4" customFormat="1" ht="75" x14ac:dyDescent="0.25">
      <c r="A181" s="17" t="s">
        <v>229</v>
      </c>
      <c r="B181" s="17"/>
      <c r="C181" s="17"/>
      <c r="D181" s="13" t="s">
        <v>225</v>
      </c>
      <c r="E181" s="14">
        <v>45042</v>
      </c>
      <c r="F181" s="23">
        <v>181</v>
      </c>
      <c r="G181" s="40">
        <v>117640</v>
      </c>
      <c r="H181" s="17" t="s">
        <v>50</v>
      </c>
      <c r="I181" s="17" t="s">
        <v>51</v>
      </c>
      <c r="J181" s="23">
        <v>40430546</v>
      </c>
      <c r="K181" s="17" t="s">
        <v>550</v>
      </c>
      <c r="L181" s="17"/>
      <c r="M181" s="18">
        <v>17922.849999999999</v>
      </c>
    </row>
    <row r="182" spans="1:13" s="4" customFormat="1" ht="105" x14ac:dyDescent="0.25">
      <c r="A182" s="17" t="s">
        <v>551</v>
      </c>
      <c r="B182" s="17" t="s">
        <v>21</v>
      </c>
      <c r="C182" s="17" t="s">
        <v>29</v>
      </c>
      <c r="D182" s="17" t="s">
        <v>221</v>
      </c>
      <c r="E182" s="22">
        <v>45043</v>
      </c>
      <c r="F182" s="25">
        <v>182</v>
      </c>
      <c r="G182" s="25">
        <v>110150</v>
      </c>
      <c r="H182" s="17" t="s">
        <v>50</v>
      </c>
      <c r="I182" s="17" t="s">
        <v>51</v>
      </c>
      <c r="J182" s="17" t="s">
        <v>64</v>
      </c>
      <c r="K182" s="17" t="s">
        <v>175</v>
      </c>
      <c r="L182" s="17" t="s">
        <v>218</v>
      </c>
      <c r="M182" s="18"/>
    </row>
    <row r="183" spans="1:13" ht="120" x14ac:dyDescent="0.25">
      <c r="A183" s="17" t="str">
        <f>HYPERLINK("https://my.zakupki.prom.ua/remote/dispatcher/state_purchase_view/41806729", "UA-2023-04-04-012062-a")</f>
        <v>UA-2023-04-04-012062-a</v>
      </c>
      <c r="B183" s="17" t="s">
        <v>40</v>
      </c>
      <c r="C183" s="17" t="s">
        <v>44</v>
      </c>
      <c r="D183" s="13" t="s">
        <v>223</v>
      </c>
      <c r="E183" s="22">
        <v>45043</v>
      </c>
      <c r="F183" s="23">
        <v>183</v>
      </c>
      <c r="G183" s="40">
        <v>117693</v>
      </c>
      <c r="H183" s="17" t="s">
        <v>50</v>
      </c>
      <c r="I183" s="17" t="s">
        <v>51</v>
      </c>
      <c r="J183" s="23">
        <v>25551379</v>
      </c>
      <c r="K183" s="17" t="s">
        <v>542</v>
      </c>
      <c r="L183" s="17" t="s">
        <v>215</v>
      </c>
      <c r="M183" s="18">
        <v>99612</v>
      </c>
    </row>
    <row r="184" spans="1:13" s="4" customFormat="1" ht="135" x14ac:dyDescent="0.25">
      <c r="A184" s="12" t="s">
        <v>552</v>
      </c>
      <c r="B184" s="12" t="s">
        <v>31</v>
      </c>
      <c r="C184" s="12" t="s">
        <v>104</v>
      </c>
      <c r="D184" s="13" t="s">
        <v>225</v>
      </c>
      <c r="E184" s="14">
        <v>45044</v>
      </c>
      <c r="F184" s="6">
        <v>184</v>
      </c>
      <c r="G184" s="6">
        <v>118230</v>
      </c>
      <c r="H184" s="12" t="s">
        <v>50</v>
      </c>
      <c r="I184" s="12" t="s">
        <v>51</v>
      </c>
      <c r="J184" s="12" t="s">
        <v>69</v>
      </c>
      <c r="K184" s="12" t="s">
        <v>70</v>
      </c>
      <c r="L184" s="12" t="s">
        <v>177</v>
      </c>
      <c r="M184" s="13">
        <v>6683.66</v>
      </c>
    </row>
    <row r="185" spans="1:13" s="4" customFormat="1" ht="150" x14ac:dyDescent="0.25">
      <c r="A185" s="17" t="s">
        <v>553</v>
      </c>
      <c r="B185" s="17" t="s">
        <v>31</v>
      </c>
      <c r="C185" s="17" t="s">
        <v>392</v>
      </c>
      <c r="D185" s="13" t="s">
        <v>225</v>
      </c>
      <c r="E185" s="22">
        <v>45044</v>
      </c>
      <c r="F185" s="23">
        <v>185</v>
      </c>
      <c r="G185" s="25">
        <v>118230</v>
      </c>
      <c r="H185" s="17" t="s">
        <v>50</v>
      </c>
      <c r="I185" s="17" t="s">
        <v>51</v>
      </c>
      <c r="J185" s="23">
        <v>2461019017</v>
      </c>
      <c r="K185" s="17" t="s">
        <v>70</v>
      </c>
      <c r="L185" s="17" t="s">
        <v>393</v>
      </c>
      <c r="M185" s="18">
        <v>2529.67</v>
      </c>
    </row>
    <row r="186" spans="1:13" s="4" customFormat="1" ht="105" x14ac:dyDescent="0.25">
      <c r="A186" s="17" t="s">
        <v>554</v>
      </c>
      <c r="B186" s="17" t="s">
        <v>45</v>
      </c>
      <c r="C186" s="17" t="s">
        <v>240</v>
      </c>
      <c r="D186" s="13" t="s">
        <v>225</v>
      </c>
      <c r="E186" s="22">
        <v>45044</v>
      </c>
      <c r="F186" s="23">
        <v>186</v>
      </c>
      <c r="G186" s="17">
        <v>118230</v>
      </c>
      <c r="H186" s="17" t="s">
        <v>50</v>
      </c>
      <c r="I186" s="17" t="s">
        <v>51</v>
      </c>
      <c r="J186" s="23">
        <v>2765203477</v>
      </c>
      <c r="K186" s="17" t="s">
        <v>261</v>
      </c>
      <c r="L186" s="17" t="s">
        <v>271</v>
      </c>
      <c r="M186" s="18">
        <v>442751</v>
      </c>
    </row>
    <row r="187" spans="1:13" s="4" customFormat="1" ht="105" x14ac:dyDescent="0.25">
      <c r="A187" s="17" t="s">
        <v>555</v>
      </c>
      <c r="B187" s="17" t="s">
        <v>45</v>
      </c>
      <c r="C187" s="17" t="s">
        <v>241</v>
      </c>
      <c r="D187" s="13" t="s">
        <v>225</v>
      </c>
      <c r="E187" s="22">
        <v>45044</v>
      </c>
      <c r="F187" s="23">
        <v>187</v>
      </c>
      <c r="G187" s="17">
        <v>118230</v>
      </c>
      <c r="H187" s="17" t="s">
        <v>50</v>
      </c>
      <c r="I187" s="17" t="s">
        <v>51</v>
      </c>
      <c r="J187" s="23">
        <v>2765203477</v>
      </c>
      <c r="K187" s="17" t="s">
        <v>261</v>
      </c>
      <c r="L187" s="17" t="s">
        <v>272</v>
      </c>
      <c r="M187" s="18">
        <v>329426</v>
      </c>
    </row>
    <row r="188" spans="1:13" s="4" customFormat="1" ht="105" x14ac:dyDescent="0.25">
      <c r="A188" s="42" t="s">
        <v>556</v>
      </c>
      <c r="B188" s="36"/>
      <c r="C188" s="36"/>
      <c r="D188" s="17" t="s">
        <v>221</v>
      </c>
      <c r="E188" s="22">
        <v>45044</v>
      </c>
      <c r="F188" s="43">
        <v>188</v>
      </c>
      <c r="G188" s="39">
        <v>110150</v>
      </c>
      <c r="H188" s="17" t="s">
        <v>50</v>
      </c>
      <c r="I188" s="17" t="s">
        <v>51</v>
      </c>
      <c r="J188" s="12" t="s">
        <v>62</v>
      </c>
      <c r="K188" s="12" t="s">
        <v>63</v>
      </c>
      <c r="L188" s="36"/>
      <c r="M188" s="36"/>
    </row>
    <row r="189" spans="1:13" ht="75" x14ac:dyDescent="0.25">
      <c r="A189" s="45" t="str">
        <f>HYPERLINK("https://my.zakupki.prom.ua/remote/dispatcher/state_purchase_view/42401788", "UA-2023-05-05-007175-a")</f>
        <v>UA-2023-05-05-007175-a</v>
      </c>
      <c r="B189" s="17" t="s">
        <v>21</v>
      </c>
      <c r="C189" s="17" t="s">
        <v>29</v>
      </c>
      <c r="D189" s="17" t="s">
        <v>221</v>
      </c>
      <c r="E189" s="22">
        <v>45044</v>
      </c>
      <c r="F189" s="23">
        <v>189</v>
      </c>
      <c r="G189" s="40">
        <v>110150</v>
      </c>
      <c r="H189" s="17" t="s">
        <v>50</v>
      </c>
      <c r="I189" s="17" t="s">
        <v>51</v>
      </c>
      <c r="J189" s="23">
        <v>42129720</v>
      </c>
      <c r="K189" s="17" t="s">
        <v>543</v>
      </c>
      <c r="L189" s="17" t="s">
        <v>528</v>
      </c>
      <c r="M189" s="18">
        <v>101.53</v>
      </c>
    </row>
    <row r="190" spans="1:13" s="4" customFormat="1" ht="120" x14ac:dyDescent="0.25">
      <c r="A190" s="17" t="s">
        <v>784</v>
      </c>
      <c r="B190" s="17" t="s">
        <v>566</v>
      </c>
      <c r="C190" s="17" t="s">
        <v>565</v>
      </c>
      <c r="D190" s="13" t="s">
        <v>223</v>
      </c>
      <c r="E190" s="22">
        <v>45050</v>
      </c>
      <c r="F190" s="23">
        <v>190</v>
      </c>
      <c r="G190" s="40">
        <v>118230</v>
      </c>
      <c r="H190" s="17">
        <v>4054334</v>
      </c>
      <c r="I190" s="17" t="s">
        <v>51</v>
      </c>
      <c r="J190" s="23">
        <v>3326013228</v>
      </c>
      <c r="K190" s="17" t="s">
        <v>838</v>
      </c>
      <c r="L190" s="17" t="s">
        <v>564</v>
      </c>
      <c r="M190" s="18">
        <v>722940</v>
      </c>
    </row>
    <row r="191" spans="1:13" ht="60.75" customHeight="1" x14ac:dyDescent="0.25">
      <c r="A191" s="44" t="s">
        <v>782</v>
      </c>
      <c r="B191" s="17" t="s">
        <v>28</v>
      </c>
      <c r="C191" s="17" t="s">
        <v>558</v>
      </c>
      <c r="D191" s="13" t="s">
        <v>223</v>
      </c>
      <c r="E191" s="22">
        <v>45050</v>
      </c>
      <c r="F191" s="23">
        <v>191</v>
      </c>
      <c r="G191" s="40">
        <v>118230</v>
      </c>
      <c r="H191" s="17">
        <v>4054334</v>
      </c>
      <c r="I191" s="17" t="s">
        <v>51</v>
      </c>
      <c r="J191" s="23">
        <v>2772214689</v>
      </c>
      <c r="K191" s="17" t="s">
        <v>559</v>
      </c>
      <c r="L191" s="17" t="s">
        <v>557</v>
      </c>
      <c r="M191" s="18">
        <v>1850</v>
      </c>
    </row>
    <row r="192" spans="1:13" ht="120" x14ac:dyDescent="0.25">
      <c r="A192" s="17" t="s">
        <v>785</v>
      </c>
      <c r="B192" s="17" t="s">
        <v>235</v>
      </c>
      <c r="C192" s="17" t="s">
        <v>570</v>
      </c>
      <c r="D192" s="13" t="s">
        <v>223</v>
      </c>
      <c r="E192" s="22">
        <v>45050</v>
      </c>
      <c r="F192" s="23" t="s">
        <v>571</v>
      </c>
      <c r="G192" s="40">
        <v>118230</v>
      </c>
      <c r="H192" s="17">
        <v>4054334</v>
      </c>
      <c r="I192" s="17" t="s">
        <v>51</v>
      </c>
      <c r="J192" s="23" t="s">
        <v>560</v>
      </c>
      <c r="K192" s="17" t="s">
        <v>559</v>
      </c>
      <c r="L192" s="17" t="s">
        <v>569</v>
      </c>
      <c r="M192" s="13">
        <v>49260</v>
      </c>
    </row>
    <row r="193" spans="1:14" s="4" customFormat="1" ht="165" x14ac:dyDescent="0.25">
      <c r="A193" s="17" t="s">
        <v>783</v>
      </c>
      <c r="B193" s="17" t="s">
        <v>563</v>
      </c>
      <c r="C193" s="17" t="s">
        <v>562</v>
      </c>
      <c r="D193" s="13" t="s">
        <v>223</v>
      </c>
      <c r="E193" s="22">
        <v>45050</v>
      </c>
      <c r="F193" s="23">
        <v>193</v>
      </c>
      <c r="G193" s="40">
        <v>118230</v>
      </c>
      <c r="H193" s="17">
        <v>4054334</v>
      </c>
      <c r="I193" s="17" t="s">
        <v>51</v>
      </c>
      <c r="J193" s="23" t="s">
        <v>560</v>
      </c>
      <c r="K193" s="17" t="s">
        <v>559</v>
      </c>
      <c r="L193" s="17" t="s">
        <v>561</v>
      </c>
      <c r="M193" s="13">
        <v>573190</v>
      </c>
    </row>
    <row r="194" spans="1:14" s="4" customFormat="1" ht="150" x14ac:dyDescent="0.25">
      <c r="A194" s="17" t="s">
        <v>839</v>
      </c>
      <c r="B194" s="17" t="s">
        <v>378</v>
      </c>
      <c r="C194" s="17" t="s">
        <v>377</v>
      </c>
      <c r="D194" s="13" t="s">
        <v>225</v>
      </c>
      <c r="E194" s="22">
        <v>45008</v>
      </c>
      <c r="F194" s="23">
        <v>194</v>
      </c>
      <c r="G194" s="33">
        <v>118230</v>
      </c>
      <c r="H194" s="17" t="s">
        <v>50</v>
      </c>
      <c r="I194" s="17" t="s">
        <v>51</v>
      </c>
      <c r="J194" s="23">
        <v>41957285</v>
      </c>
      <c r="K194" s="17" t="s">
        <v>379</v>
      </c>
      <c r="L194" s="17" t="s">
        <v>380</v>
      </c>
      <c r="M194" s="18">
        <v>490118.8</v>
      </c>
    </row>
    <row r="195" spans="1:14" s="4" customFormat="1" ht="60" x14ac:dyDescent="0.25">
      <c r="A195" s="17" t="s">
        <v>840</v>
      </c>
      <c r="B195" s="17"/>
      <c r="C195" s="17"/>
      <c r="D195" s="13" t="s">
        <v>225</v>
      </c>
      <c r="E195" s="22">
        <v>45054</v>
      </c>
      <c r="F195" s="23">
        <v>195</v>
      </c>
      <c r="G195" s="33">
        <v>110150</v>
      </c>
      <c r="H195" s="17">
        <v>4054334</v>
      </c>
      <c r="I195" s="17" t="s">
        <v>51</v>
      </c>
      <c r="J195" s="23">
        <v>23697280</v>
      </c>
      <c r="K195" s="17" t="s">
        <v>841</v>
      </c>
      <c r="L195" s="17"/>
      <c r="M195" s="18">
        <v>3000</v>
      </c>
    </row>
    <row r="196" spans="1:14" ht="75" x14ac:dyDescent="0.25">
      <c r="A196" s="17" t="s">
        <v>786</v>
      </c>
      <c r="B196" s="17" t="s">
        <v>574</v>
      </c>
      <c r="C196" s="17" t="s">
        <v>573</v>
      </c>
      <c r="D196" s="13" t="s">
        <v>223</v>
      </c>
      <c r="E196" s="22">
        <v>45056</v>
      </c>
      <c r="F196" s="23" t="s">
        <v>577</v>
      </c>
      <c r="G196" s="40">
        <v>110150</v>
      </c>
      <c r="H196" s="17">
        <v>4054334</v>
      </c>
      <c r="I196" s="17" t="s">
        <v>51</v>
      </c>
      <c r="J196" s="23" t="s">
        <v>576</v>
      </c>
      <c r="K196" s="17" t="s">
        <v>575</v>
      </c>
      <c r="L196" s="17" t="s">
        <v>572</v>
      </c>
      <c r="M196" s="13">
        <v>249648</v>
      </c>
    </row>
    <row r="197" spans="1:14" ht="60" x14ac:dyDescent="0.25">
      <c r="A197" s="39" t="s">
        <v>787</v>
      </c>
      <c r="B197" s="17" t="s">
        <v>580</v>
      </c>
      <c r="C197" s="17" t="s">
        <v>579</v>
      </c>
      <c r="D197" s="13" t="s">
        <v>223</v>
      </c>
      <c r="E197" s="22">
        <v>45057</v>
      </c>
      <c r="F197" s="23" t="s">
        <v>582</v>
      </c>
      <c r="G197" s="40">
        <v>110150</v>
      </c>
      <c r="H197" s="17">
        <v>4054334</v>
      </c>
      <c r="I197" s="17" t="s">
        <v>51</v>
      </c>
      <c r="J197" s="23" t="s">
        <v>581</v>
      </c>
      <c r="K197" s="17" t="s">
        <v>268</v>
      </c>
      <c r="L197" s="17" t="s">
        <v>578</v>
      </c>
      <c r="M197" s="13">
        <v>96595.199999999997</v>
      </c>
    </row>
    <row r="198" spans="1:14" ht="60" x14ac:dyDescent="0.25">
      <c r="A198" s="39" t="s">
        <v>788</v>
      </c>
      <c r="B198" s="17" t="s">
        <v>59</v>
      </c>
      <c r="C198" s="17" t="s">
        <v>584</v>
      </c>
      <c r="D198" s="13" t="s">
        <v>223</v>
      </c>
      <c r="E198" s="22">
        <v>45061</v>
      </c>
      <c r="F198" s="23" t="s">
        <v>587</v>
      </c>
      <c r="G198" s="40">
        <v>118230</v>
      </c>
      <c r="H198" s="17">
        <v>4054334</v>
      </c>
      <c r="I198" s="17" t="s">
        <v>51</v>
      </c>
      <c r="J198" s="23" t="s">
        <v>586</v>
      </c>
      <c r="K198" s="17" t="s">
        <v>585</v>
      </c>
      <c r="L198" s="17" t="s">
        <v>583</v>
      </c>
      <c r="M198" s="13">
        <v>118399.67999999999</v>
      </c>
    </row>
    <row r="199" spans="1:14" s="4" customFormat="1" ht="75" x14ac:dyDescent="0.25">
      <c r="A199" s="39" t="s">
        <v>796</v>
      </c>
      <c r="B199" s="17" t="s">
        <v>28</v>
      </c>
      <c r="C199" s="17" t="s">
        <v>611</v>
      </c>
      <c r="D199" s="13" t="s">
        <v>223</v>
      </c>
      <c r="E199" s="22">
        <v>45061</v>
      </c>
      <c r="F199" s="23" t="s">
        <v>614</v>
      </c>
      <c r="G199" s="40">
        <v>118230</v>
      </c>
      <c r="H199" s="17">
        <v>4054334</v>
      </c>
      <c r="I199" s="17" t="s">
        <v>51</v>
      </c>
      <c r="J199" s="23" t="s">
        <v>613</v>
      </c>
      <c r="K199" s="17" t="s">
        <v>612</v>
      </c>
      <c r="L199" s="17" t="s">
        <v>182</v>
      </c>
      <c r="M199" s="13">
        <v>113985</v>
      </c>
    </row>
    <row r="200" spans="1:14" ht="105" x14ac:dyDescent="0.25">
      <c r="A200" s="39" t="s">
        <v>792</v>
      </c>
      <c r="B200" s="17" t="s">
        <v>28</v>
      </c>
      <c r="C200" s="17" t="s">
        <v>598</v>
      </c>
      <c r="D200" s="13" t="s">
        <v>223</v>
      </c>
      <c r="E200" s="22">
        <v>45061</v>
      </c>
      <c r="F200" s="23" t="s">
        <v>601</v>
      </c>
      <c r="G200" s="40">
        <v>118230</v>
      </c>
      <c r="H200" s="17">
        <v>4054334</v>
      </c>
      <c r="I200" s="17" t="s">
        <v>51</v>
      </c>
      <c r="J200" s="23" t="s">
        <v>600</v>
      </c>
      <c r="K200" s="17" t="s">
        <v>599</v>
      </c>
      <c r="L200" s="17" t="s">
        <v>182</v>
      </c>
      <c r="M200" s="13">
        <v>35005.230000000003</v>
      </c>
    </row>
    <row r="201" spans="1:14" s="4" customFormat="1" ht="75" x14ac:dyDescent="0.25">
      <c r="A201" s="39" t="s">
        <v>790</v>
      </c>
      <c r="B201" s="17" t="s">
        <v>28</v>
      </c>
      <c r="C201" s="17" t="s">
        <v>592</v>
      </c>
      <c r="D201" s="13" t="s">
        <v>223</v>
      </c>
      <c r="E201" s="22">
        <v>45061</v>
      </c>
      <c r="F201" s="23" t="s">
        <v>595</v>
      </c>
      <c r="G201" s="40">
        <v>118230</v>
      </c>
      <c r="H201" s="17">
        <v>4054334</v>
      </c>
      <c r="I201" s="17" t="s">
        <v>51</v>
      </c>
      <c r="J201" s="23" t="s">
        <v>594</v>
      </c>
      <c r="K201" s="17" t="s">
        <v>593</v>
      </c>
      <c r="L201" s="17" t="s">
        <v>182</v>
      </c>
      <c r="M201" s="13">
        <v>134820</v>
      </c>
    </row>
    <row r="202" spans="1:14" s="4" customFormat="1" ht="120" x14ac:dyDescent="0.25">
      <c r="A202" s="17" t="s">
        <v>842</v>
      </c>
      <c r="B202" s="17" t="s">
        <v>45</v>
      </c>
      <c r="C202" s="17" t="s">
        <v>485</v>
      </c>
      <c r="D202" s="13" t="s">
        <v>225</v>
      </c>
      <c r="E202" s="22">
        <v>45061</v>
      </c>
      <c r="F202" s="23">
        <v>202</v>
      </c>
      <c r="G202" s="40">
        <v>118230</v>
      </c>
      <c r="H202" s="17" t="s">
        <v>50</v>
      </c>
      <c r="I202" s="17" t="s">
        <v>51</v>
      </c>
      <c r="J202" s="23">
        <v>2765203477</v>
      </c>
      <c r="K202" s="17" t="s">
        <v>261</v>
      </c>
      <c r="L202" s="17" t="s">
        <v>521</v>
      </c>
      <c r="M202" s="13" t="s">
        <v>856</v>
      </c>
      <c r="N202" s="48"/>
    </row>
    <row r="203" spans="1:14" s="4" customFormat="1" ht="195" x14ac:dyDescent="0.25">
      <c r="A203" s="17" t="s">
        <v>843</v>
      </c>
      <c r="B203" s="17" t="s">
        <v>31</v>
      </c>
      <c r="C203" s="17" t="s">
        <v>486</v>
      </c>
      <c r="D203" s="13" t="s">
        <v>225</v>
      </c>
      <c r="E203" s="22">
        <v>45061</v>
      </c>
      <c r="F203" s="23">
        <v>203</v>
      </c>
      <c r="G203" s="40">
        <v>118230</v>
      </c>
      <c r="H203" s="17" t="s">
        <v>50</v>
      </c>
      <c r="I203" s="17" t="s">
        <v>51</v>
      </c>
      <c r="J203" s="23">
        <v>2461019017</v>
      </c>
      <c r="K203" s="17" t="s">
        <v>70</v>
      </c>
      <c r="L203" s="17" t="s">
        <v>523</v>
      </c>
      <c r="M203" s="13" t="s">
        <v>856</v>
      </c>
    </row>
    <row r="204" spans="1:14" ht="135" x14ac:dyDescent="0.25">
      <c r="A204" s="39" t="s">
        <v>789</v>
      </c>
      <c r="B204" s="17" t="s">
        <v>31</v>
      </c>
      <c r="C204" s="17" t="s">
        <v>589</v>
      </c>
      <c r="D204" s="13" t="s">
        <v>225</v>
      </c>
      <c r="E204" s="22">
        <v>45061</v>
      </c>
      <c r="F204" s="23" t="s">
        <v>591</v>
      </c>
      <c r="G204" s="40">
        <v>118230</v>
      </c>
      <c r="H204" s="17">
        <v>4054334</v>
      </c>
      <c r="I204" s="17" t="s">
        <v>51</v>
      </c>
      <c r="J204" s="23" t="s">
        <v>590</v>
      </c>
      <c r="K204" s="17" t="s">
        <v>355</v>
      </c>
      <c r="L204" s="17" t="s">
        <v>588</v>
      </c>
      <c r="M204" s="13">
        <v>25160</v>
      </c>
    </row>
    <row r="205" spans="1:14" s="4" customFormat="1" ht="135" x14ac:dyDescent="0.25">
      <c r="A205" s="39" t="s">
        <v>794</v>
      </c>
      <c r="B205" s="17" t="s">
        <v>31</v>
      </c>
      <c r="C205" s="17" t="s">
        <v>606</v>
      </c>
      <c r="D205" s="13" t="s">
        <v>225</v>
      </c>
      <c r="E205" s="22">
        <v>45061</v>
      </c>
      <c r="F205" s="23" t="s">
        <v>607</v>
      </c>
      <c r="G205" s="40">
        <v>118230</v>
      </c>
      <c r="H205" s="17">
        <v>4054334</v>
      </c>
      <c r="I205" s="17" t="s">
        <v>51</v>
      </c>
      <c r="J205" s="23" t="s">
        <v>590</v>
      </c>
      <c r="K205" s="17" t="s">
        <v>355</v>
      </c>
      <c r="L205" s="17" t="s">
        <v>605</v>
      </c>
      <c r="M205" s="13">
        <v>4442</v>
      </c>
    </row>
    <row r="206" spans="1:14" ht="135" x14ac:dyDescent="0.25">
      <c r="A206" s="39" t="s">
        <v>791</v>
      </c>
      <c r="B206" s="17" t="s">
        <v>31</v>
      </c>
      <c r="C206" s="17" t="s">
        <v>596</v>
      </c>
      <c r="D206" s="13" t="s">
        <v>225</v>
      </c>
      <c r="E206" s="22">
        <v>45061</v>
      </c>
      <c r="F206" s="23" t="s">
        <v>597</v>
      </c>
      <c r="G206" s="40">
        <v>118230</v>
      </c>
      <c r="H206" s="17">
        <v>4054334</v>
      </c>
      <c r="I206" s="17" t="s">
        <v>51</v>
      </c>
      <c r="J206" s="23" t="s">
        <v>590</v>
      </c>
      <c r="K206" s="17" t="s">
        <v>355</v>
      </c>
      <c r="L206" s="17" t="s">
        <v>602</v>
      </c>
      <c r="M206" s="13">
        <v>4442</v>
      </c>
      <c r="N206" s="17"/>
    </row>
    <row r="207" spans="1:14" ht="135" x14ac:dyDescent="0.25">
      <c r="A207" s="39" t="s">
        <v>793</v>
      </c>
      <c r="B207" s="17" t="s">
        <v>31</v>
      </c>
      <c r="C207" s="17" t="s">
        <v>603</v>
      </c>
      <c r="D207" s="13" t="s">
        <v>225</v>
      </c>
      <c r="E207" s="22">
        <v>45061</v>
      </c>
      <c r="F207" s="23" t="s">
        <v>604</v>
      </c>
      <c r="G207" s="40">
        <v>118230</v>
      </c>
      <c r="H207" s="17">
        <v>4054334</v>
      </c>
      <c r="I207" s="17" t="s">
        <v>51</v>
      </c>
      <c r="J207" s="23" t="s">
        <v>590</v>
      </c>
      <c r="K207" s="17" t="s">
        <v>355</v>
      </c>
      <c r="L207" s="17" t="s">
        <v>608</v>
      </c>
      <c r="M207" s="13">
        <v>4442</v>
      </c>
    </row>
    <row r="208" spans="1:14" ht="75" x14ac:dyDescent="0.25">
      <c r="A208" s="39" t="s">
        <v>795</v>
      </c>
      <c r="B208" s="17" t="s">
        <v>31</v>
      </c>
      <c r="C208" s="17" t="s">
        <v>609</v>
      </c>
      <c r="D208" s="13" t="s">
        <v>225</v>
      </c>
      <c r="E208" s="22">
        <v>45061</v>
      </c>
      <c r="F208" s="23" t="s">
        <v>610</v>
      </c>
      <c r="G208" s="40">
        <v>118230</v>
      </c>
      <c r="H208" s="17">
        <v>4054334</v>
      </c>
      <c r="I208" s="17" t="s">
        <v>51</v>
      </c>
      <c r="J208" s="23" t="s">
        <v>590</v>
      </c>
      <c r="K208" s="17" t="s">
        <v>355</v>
      </c>
      <c r="L208" s="17" t="s">
        <v>683</v>
      </c>
      <c r="M208" s="13">
        <v>4442</v>
      </c>
    </row>
    <row r="209" spans="1:13" ht="60" x14ac:dyDescent="0.25">
      <c r="A209" s="39" t="s">
        <v>813</v>
      </c>
      <c r="B209" s="17" t="s">
        <v>420</v>
      </c>
      <c r="C209" s="17" t="s">
        <v>684</v>
      </c>
      <c r="D209" s="13" t="s">
        <v>223</v>
      </c>
      <c r="E209" s="22">
        <v>45064</v>
      </c>
      <c r="F209" s="23" t="s">
        <v>685</v>
      </c>
      <c r="G209" s="40">
        <v>113112</v>
      </c>
      <c r="H209" s="17">
        <v>4054334</v>
      </c>
      <c r="I209" s="17" t="s">
        <v>51</v>
      </c>
      <c r="J209" s="23" t="s">
        <v>619</v>
      </c>
      <c r="K209" s="17" t="s">
        <v>618</v>
      </c>
      <c r="L209" s="17" t="s">
        <v>645</v>
      </c>
      <c r="M209" s="13">
        <v>1740</v>
      </c>
    </row>
    <row r="210" spans="1:13" s="4" customFormat="1" ht="90" x14ac:dyDescent="0.25">
      <c r="A210" s="39" t="s">
        <v>803</v>
      </c>
      <c r="B210" s="17" t="s">
        <v>647</v>
      </c>
      <c r="C210" s="17" t="s">
        <v>646</v>
      </c>
      <c r="D210" s="13" t="s">
        <v>223</v>
      </c>
      <c r="E210" s="22">
        <v>45064</v>
      </c>
      <c r="F210" s="23" t="s">
        <v>648</v>
      </c>
      <c r="G210" s="40">
        <v>113112</v>
      </c>
      <c r="H210" s="17">
        <v>4054334</v>
      </c>
      <c r="I210" s="17" t="s">
        <v>51</v>
      </c>
      <c r="J210" s="23" t="s">
        <v>619</v>
      </c>
      <c r="K210" s="17" t="s">
        <v>618</v>
      </c>
      <c r="L210" s="17" t="s">
        <v>615</v>
      </c>
      <c r="M210" s="13">
        <v>2262</v>
      </c>
    </row>
    <row r="211" spans="1:13" ht="75" x14ac:dyDescent="0.25">
      <c r="A211" s="39" t="s">
        <v>797</v>
      </c>
      <c r="B211" s="17" t="s">
        <v>617</v>
      </c>
      <c r="C211" s="17" t="s">
        <v>616</v>
      </c>
      <c r="D211" s="13" t="s">
        <v>223</v>
      </c>
      <c r="E211" s="22">
        <v>45064</v>
      </c>
      <c r="F211" s="23" t="s">
        <v>620</v>
      </c>
      <c r="G211" s="40">
        <v>113112</v>
      </c>
      <c r="H211" s="17">
        <v>4054334</v>
      </c>
      <c r="I211" s="17" t="s">
        <v>51</v>
      </c>
      <c r="J211" s="23" t="s">
        <v>619</v>
      </c>
      <c r="K211" s="17" t="s">
        <v>618</v>
      </c>
      <c r="L211" s="17" t="s">
        <v>662</v>
      </c>
      <c r="M211" s="13">
        <v>4081</v>
      </c>
    </row>
    <row r="212" spans="1:13" s="4" customFormat="1" ht="135" x14ac:dyDescent="0.25">
      <c r="A212" s="39" t="s">
        <v>807</v>
      </c>
      <c r="B212" s="17" t="s">
        <v>664</v>
      </c>
      <c r="C212" s="17" t="s">
        <v>663</v>
      </c>
      <c r="D212" s="13" t="s">
        <v>223</v>
      </c>
      <c r="E212" s="22">
        <v>45064</v>
      </c>
      <c r="F212" s="23" t="s">
        <v>665</v>
      </c>
      <c r="G212" s="40">
        <v>113112</v>
      </c>
      <c r="H212" s="17">
        <v>4054334</v>
      </c>
      <c r="I212" s="17" t="s">
        <v>51</v>
      </c>
      <c r="J212" s="23" t="s">
        <v>619</v>
      </c>
      <c r="K212" s="17" t="s">
        <v>618</v>
      </c>
      <c r="M212" s="13">
        <v>977</v>
      </c>
    </row>
    <row r="213" spans="1:13" s="4" customFormat="1" ht="210" x14ac:dyDescent="0.25">
      <c r="A213" s="39" t="s">
        <v>808</v>
      </c>
      <c r="B213" s="17" t="s">
        <v>668</v>
      </c>
      <c r="C213" s="17" t="s">
        <v>667</v>
      </c>
      <c r="D213" s="13" t="s">
        <v>223</v>
      </c>
      <c r="E213" s="22">
        <v>45064</v>
      </c>
      <c r="F213" s="23" t="s">
        <v>669</v>
      </c>
      <c r="G213" s="40">
        <v>113112</v>
      </c>
      <c r="H213" s="17">
        <v>4054334</v>
      </c>
      <c r="I213" s="17" t="s">
        <v>51</v>
      </c>
      <c r="J213" s="23" t="s">
        <v>619</v>
      </c>
      <c r="K213" s="17" t="s">
        <v>618</v>
      </c>
      <c r="L213" s="17" t="s">
        <v>666</v>
      </c>
      <c r="M213" s="13">
        <v>10422</v>
      </c>
    </row>
    <row r="214" spans="1:13" s="4" customFormat="1" ht="75" x14ac:dyDescent="0.25">
      <c r="A214" s="46" t="s">
        <v>811</v>
      </c>
      <c r="B214" s="17" t="s">
        <v>678</v>
      </c>
      <c r="C214" s="17" t="s">
        <v>677</v>
      </c>
      <c r="D214" s="13" t="s">
        <v>223</v>
      </c>
      <c r="E214" s="22">
        <v>45064</v>
      </c>
      <c r="F214" s="23" t="s">
        <v>679</v>
      </c>
      <c r="G214" s="40">
        <v>113112</v>
      </c>
      <c r="H214" s="17">
        <v>4054334</v>
      </c>
      <c r="I214" s="17" t="s">
        <v>51</v>
      </c>
      <c r="J214" s="23" t="s">
        <v>619</v>
      </c>
      <c r="K214" s="17" t="s">
        <v>618</v>
      </c>
      <c r="L214" s="17" t="s">
        <v>676</v>
      </c>
      <c r="M214" s="13">
        <v>3780</v>
      </c>
    </row>
    <row r="215" spans="1:13" s="4" customFormat="1" ht="60" x14ac:dyDescent="0.25">
      <c r="A215" s="46" t="s">
        <v>806</v>
      </c>
      <c r="B215" s="17" t="s">
        <v>439</v>
      </c>
      <c r="C215" s="17" t="s">
        <v>660</v>
      </c>
      <c r="D215" s="13" t="s">
        <v>223</v>
      </c>
      <c r="E215" s="22">
        <v>45064</v>
      </c>
      <c r="F215" s="23" t="s">
        <v>661</v>
      </c>
      <c r="G215" s="40">
        <v>113112</v>
      </c>
      <c r="H215" s="17">
        <v>4054334</v>
      </c>
      <c r="I215" s="17" t="s">
        <v>51</v>
      </c>
      <c r="J215" s="23" t="s">
        <v>619</v>
      </c>
      <c r="K215" s="17" t="s">
        <v>618</v>
      </c>
      <c r="L215" s="17" t="s">
        <v>659</v>
      </c>
      <c r="M215" s="13">
        <v>1640</v>
      </c>
    </row>
    <row r="216" spans="1:13" s="4" customFormat="1" ht="60" x14ac:dyDescent="0.25">
      <c r="A216" s="46" t="s">
        <v>810</v>
      </c>
      <c r="B216" s="47" t="s">
        <v>436</v>
      </c>
      <c r="C216" s="17" t="s">
        <v>674</v>
      </c>
      <c r="D216" s="13" t="s">
        <v>223</v>
      </c>
      <c r="E216" s="22">
        <v>45064</v>
      </c>
      <c r="F216" s="23" t="s">
        <v>675</v>
      </c>
      <c r="G216" s="40">
        <v>113112</v>
      </c>
      <c r="H216" s="17">
        <v>4054334</v>
      </c>
      <c r="I216" s="17" t="s">
        <v>51</v>
      </c>
      <c r="J216" s="23" t="s">
        <v>619</v>
      </c>
      <c r="K216" s="17" t="s">
        <v>618</v>
      </c>
      <c r="L216" s="47" t="s">
        <v>673</v>
      </c>
      <c r="M216" s="13">
        <v>2553</v>
      </c>
    </row>
    <row r="217" spans="1:13" s="4" customFormat="1" ht="60" x14ac:dyDescent="0.25">
      <c r="A217" s="39" t="s">
        <v>802</v>
      </c>
      <c r="B217" s="17" t="s">
        <v>643</v>
      </c>
      <c r="C217" s="17" t="s">
        <v>642</v>
      </c>
      <c r="D217" s="13" t="s">
        <v>223</v>
      </c>
      <c r="E217" s="22">
        <v>45064</v>
      </c>
      <c r="F217" s="23" t="s">
        <v>644</v>
      </c>
      <c r="G217" s="40">
        <v>113112</v>
      </c>
      <c r="H217" s="17">
        <v>4054334</v>
      </c>
      <c r="I217" s="17" t="s">
        <v>51</v>
      </c>
      <c r="J217" s="23" t="s">
        <v>619</v>
      </c>
      <c r="K217" s="17" t="s">
        <v>618</v>
      </c>
      <c r="L217" s="17" t="s">
        <v>641</v>
      </c>
      <c r="M217" s="13">
        <v>1870</v>
      </c>
    </row>
    <row r="218" spans="1:13" s="4" customFormat="1" ht="60" x14ac:dyDescent="0.25">
      <c r="A218" s="46" t="s">
        <v>814</v>
      </c>
      <c r="B218" s="17" t="s">
        <v>417</v>
      </c>
      <c r="C218" s="17" t="s">
        <v>687</v>
      </c>
      <c r="D218" s="13" t="s">
        <v>223</v>
      </c>
      <c r="E218" s="22">
        <v>45064</v>
      </c>
      <c r="F218" s="23" t="s">
        <v>688</v>
      </c>
      <c r="G218" s="40">
        <v>113112</v>
      </c>
      <c r="H218" s="17">
        <v>4054334</v>
      </c>
      <c r="I218" s="17" t="s">
        <v>51</v>
      </c>
      <c r="J218" s="23" t="s">
        <v>619</v>
      </c>
      <c r="K218" s="17" t="s">
        <v>618</v>
      </c>
      <c r="L218" s="17" t="s">
        <v>686</v>
      </c>
      <c r="M218" s="13">
        <v>1875</v>
      </c>
    </row>
    <row r="219" spans="1:13" s="4" customFormat="1" ht="60" x14ac:dyDescent="0.25">
      <c r="A219" s="46" t="s">
        <v>812</v>
      </c>
      <c r="B219" s="17" t="s">
        <v>440</v>
      </c>
      <c r="C219" s="17" t="s">
        <v>681</v>
      </c>
      <c r="D219" s="13" t="s">
        <v>223</v>
      </c>
      <c r="E219" s="22">
        <v>45064</v>
      </c>
      <c r="F219" s="23" t="s">
        <v>682</v>
      </c>
      <c r="G219" s="40">
        <v>113112</v>
      </c>
      <c r="H219" s="17">
        <v>4054334</v>
      </c>
      <c r="I219" s="17" t="s">
        <v>51</v>
      </c>
      <c r="J219" s="23" t="s">
        <v>619</v>
      </c>
      <c r="K219" s="17" t="s">
        <v>618</v>
      </c>
      <c r="L219" s="17" t="s">
        <v>680</v>
      </c>
      <c r="M219" s="13">
        <v>800</v>
      </c>
    </row>
    <row r="220" spans="1:13" ht="60" x14ac:dyDescent="0.25">
      <c r="A220" s="39" t="s">
        <v>798</v>
      </c>
      <c r="B220" s="17" t="s">
        <v>623</v>
      </c>
      <c r="C220" s="17" t="s">
        <v>622</v>
      </c>
      <c r="D220" s="13" t="s">
        <v>223</v>
      </c>
      <c r="E220" s="22">
        <v>45064</v>
      </c>
      <c r="F220" s="23" t="s">
        <v>626</v>
      </c>
      <c r="G220" s="40">
        <v>110150</v>
      </c>
      <c r="H220" s="17">
        <v>4054334</v>
      </c>
      <c r="I220" s="17" t="s">
        <v>51</v>
      </c>
      <c r="J220" s="23" t="s">
        <v>625</v>
      </c>
      <c r="K220" s="17" t="s">
        <v>624</v>
      </c>
      <c r="L220" s="17" t="s">
        <v>621</v>
      </c>
      <c r="M220" s="13">
        <v>4400</v>
      </c>
    </row>
    <row r="221" spans="1:13" s="4" customFormat="1" ht="60" x14ac:dyDescent="0.25">
      <c r="A221" s="39" t="s">
        <v>800</v>
      </c>
      <c r="B221" s="17" t="s">
        <v>634</v>
      </c>
      <c r="C221" s="17" t="s">
        <v>633</v>
      </c>
      <c r="D221" s="13" t="s">
        <v>223</v>
      </c>
      <c r="E221" s="22">
        <v>45064</v>
      </c>
      <c r="F221" s="23" t="s">
        <v>637</v>
      </c>
      <c r="G221" s="40">
        <v>110150</v>
      </c>
      <c r="H221" s="17">
        <v>4054334</v>
      </c>
      <c r="I221" s="17" t="s">
        <v>51</v>
      </c>
      <c r="J221" s="23" t="s">
        <v>636</v>
      </c>
      <c r="K221" s="17" t="s">
        <v>635</v>
      </c>
      <c r="L221" s="17" t="s">
        <v>632</v>
      </c>
      <c r="M221" s="13">
        <v>2700</v>
      </c>
    </row>
    <row r="222" spans="1:13" s="4" customFormat="1" ht="60" x14ac:dyDescent="0.25">
      <c r="A222" s="46" t="s">
        <v>804</v>
      </c>
      <c r="B222" s="17" t="s">
        <v>651</v>
      </c>
      <c r="C222" s="17" t="s">
        <v>650</v>
      </c>
      <c r="D222" s="13" t="s">
        <v>223</v>
      </c>
      <c r="E222" s="22">
        <v>45064</v>
      </c>
      <c r="F222" s="23" t="s">
        <v>654</v>
      </c>
      <c r="G222" s="40">
        <v>110150</v>
      </c>
      <c r="H222" s="17">
        <v>4054334</v>
      </c>
      <c r="I222" s="17" t="s">
        <v>51</v>
      </c>
      <c r="J222" s="23" t="s">
        <v>653</v>
      </c>
      <c r="K222" s="17" t="s">
        <v>652</v>
      </c>
      <c r="L222" s="17" t="s">
        <v>649</v>
      </c>
      <c r="M222" s="13">
        <v>2200</v>
      </c>
    </row>
    <row r="223" spans="1:13" s="4" customFormat="1" ht="60" x14ac:dyDescent="0.25">
      <c r="A223" s="39" t="s">
        <v>801</v>
      </c>
      <c r="B223" s="17" t="s">
        <v>623</v>
      </c>
      <c r="C223" s="17" t="s">
        <v>638</v>
      </c>
      <c r="D223" s="13" t="s">
        <v>223</v>
      </c>
      <c r="E223" s="22">
        <v>45064</v>
      </c>
      <c r="F223" s="23" t="s">
        <v>640</v>
      </c>
      <c r="G223" s="40">
        <v>110150</v>
      </c>
      <c r="H223" s="17">
        <v>4054334</v>
      </c>
      <c r="I223" s="17" t="s">
        <v>51</v>
      </c>
      <c r="J223" s="23" t="s">
        <v>639</v>
      </c>
      <c r="K223" s="17" t="s">
        <v>427</v>
      </c>
      <c r="L223" s="17" t="s">
        <v>621</v>
      </c>
      <c r="M223" s="13">
        <v>5400</v>
      </c>
    </row>
    <row r="224" spans="1:13" s="4" customFormat="1" ht="60" x14ac:dyDescent="0.25">
      <c r="A224" s="46" t="s">
        <v>809</v>
      </c>
      <c r="B224" s="17" t="s">
        <v>426</v>
      </c>
      <c r="C224" s="17" t="s">
        <v>670</v>
      </c>
      <c r="D224" s="13" t="s">
        <v>223</v>
      </c>
      <c r="E224" s="22">
        <v>45064</v>
      </c>
      <c r="F224" s="23" t="s">
        <v>672</v>
      </c>
      <c r="G224" s="40">
        <v>110150</v>
      </c>
      <c r="H224" s="17">
        <v>4054334</v>
      </c>
      <c r="I224" s="17" t="s">
        <v>51</v>
      </c>
      <c r="J224" s="23" t="s">
        <v>639</v>
      </c>
      <c r="K224" s="17" t="s">
        <v>427</v>
      </c>
      <c r="L224" s="17" t="s">
        <v>671</v>
      </c>
      <c r="M224" s="13">
        <v>4500</v>
      </c>
    </row>
    <row r="225" spans="1:13" ht="409.5" x14ac:dyDescent="0.25">
      <c r="A225" s="39" t="s">
        <v>799</v>
      </c>
      <c r="B225" s="17" t="s">
        <v>566</v>
      </c>
      <c r="C225" s="17" t="s">
        <v>628</v>
      </c>
      <c r="D225" s="13" t="s">
        <v>223</v>
      </c>
      <c r="E225" s="22">
        <v>45064</v>
      </c>
      <c r="F225" s="23" t="s">
        <v>631</v>
      </c>
      <c r="G225" s="40">
        <v>118230</v>
      </c>
      <c r="H225" s="17">
        <v>4054334</v>
      </c>
      <c r="I225" s="17" t="s">
        <v>51</v>
      </c>
      <c r="J225" s="23" t="s">
        <v>630</v>
      </c>
      <c r="K225" s="17" t="s">
        <v>629</v>
      </c>
      <c r="L225" s="17" t="s">
        <v>627</v>
      </c>
      <c r="M225" s="13">
        <v>1290113.8799999999</v>
      </c>
    </row>
    <row r="226" spans="1:13" ht="150" x14ac:dyDescent="0.25">
      <c r="A226" s="39" t="s">
        <v>822</v>
      </c>
      <c r="B226" s="17" t="s">
        <v>378</v>
      </c>
      <c r="C226" s="17" t="s">
        <v>717</v>
      </c>
      <c r="D226" s="13" t="s">
        <v>225</v>
      </c>
      <c r="E226" s="22">
        <v>45064</v>
      </c>
      <c r="F226" s="23" t="s">
        <v>718</v>
      </c>
      <c r="G226" s="40">
        <v>118230</v>
      </c>
      <c r="H226" s="17">
        <v>4054334</v>
      </c>
      <c r="I226" s="17" t="s">
        <v>51</v>
      </c>
      <c r="J226" s="23" t="s">
        <v>91</v>
      </c>
      <c r="K226" s="17" t="s">
        <v>92</v>
      </c>
      <c r="L226" s="17" t="s">
        <v>716</v>
      </c>
      <c r="M226" s="13">
        <v>334570.37</v>
      </c>
    </row>
    <row r="227" spans="1:13" ht="165" x14ac:dyDescent="0.25">
      <c r="A227" s="39" t="s">
        <v>821</v>
      </c>
      <c r="B227" s="17" t="s">
        <v>31</v>
      </c>
      <c r="C227" s="17" t="s">
        <v>714</v>
      </c>
      <c r="D227" s="13" t="s">
        <v>225</v>
      </c>
      <c r="E227" s="22">
        <v>45064</v>
      </c>
      <c r="F227" s="23" t="s">
        <v>715</v>
      </c>
      <c r="G227" s="40">
        <v>118230</v>
      </c>
      <c r="H227" s="17">
        <v>4054334</v>
      </c>
      <c r="I227" s="17" t="s">
        <v>51</v>
      </c>
      <c r="J227" s="23" t="s">
        <v>701</v>
      </c>
      <c r="K227" s="17" t="s">
        <v>700</v>
      </c>
      <c r="L227" s="17" t="s">
        <v>713</v>
      </c>
      <c r="M227" s="13">
        <v>5066.3100000000004</v>
      </c>
    </row>
    <row r="228" spans="1:13" ht="90" x14ac:dyDescent="0.25">
      <c r="A228" s="39" t="s">
        <v>815</v>
      </c>
      <c r="B228" s="17" t="s">
        <v>691</v>
      </c>
      <c r="C228" s="17" t="s">
        <v>690</v>
      </c>
      <c r="D228" s="13" t="s">
        <v>225</v>
      </c>
      <c r="E228" s="22">
        <v>45064</v>
      </c>
      <c r="F228" s="23" t="s">
        <v>694</v>
      </c>
      <c r="G228" s="40">
        <v>118230</v>
      </c>
      <c r="H228" s="17">
        <v>4054334</v>
      </c>
      <c r="I228" s="17" t="s">
        <v>51</v>
      </c>
      <c r="J228" s="23" t="s">
        <v>693</v>
      </c>
      <c r="K228" s="17" t="s">
        <v>692</v>
      </c>
      <c r="L228" s="17" t="s">
        <v>689</v>
      </c>
      <c r="M228" s="13">
        <v>180105</v>
      </c>
    </row>
    <row r="229" spans="1:13" ht="90" x14ac:dyDescent="0.25">
      <c r="A229" s="39" t="s">
        <v>816</v>
      </c>
      <c r="B229" s="17" t="s">
        <v>691</v>
      </c>
      <c r="C229" s="17" t="s">
        <v>696</v>
      </c>
      <c r="D229" s="13" t="s">
        <v>225</v>
      </c>
      <c r="E229" s="22">
        <v>45064</v>
      </c>
      <c r="F229" s="23" t="s">
        <v>697</v>
      </c>
      <c r="G229" s="40">
        <v>118230</v>
      </c>
      <c r="H229" s="17">
        <v>4054334</v>
      </c>
      <c r="I229" s="17" t="s">
        <v>51</v>
      </c>
      <c r="J229" s="23" t="s">
        <v>693</v>
      </c>
      <c r="K229" s="17" t="s">
        <v>692</v>
      </c>
      <c r="L229" s="17" t="s">
        <v>695</v>
      </c>
      <c r="M229" s="13">
        <v>182377</v>
      </c>
    </row>
    <row r="230" spans="1:13" ht="90" x14ac:dyDescent="0.25">
      <c r="A230" s="39" t="s">
        <v>820</v>
      </c>
      <c r="B230" s="17" t="s">
        <v>362</v>
      </c>
      <c r="C230" s="17" t="s">
        <v>710</v>
      </c>
      <c r="D230" s="13" t="s">
        <v>225</v>
      </c>
      <c r="E230" s="22">
        <v>45064</v>
      </c>
      <c r="F230" s="23" t="s">
        <v>712</v>
      </c>
      <c r="G230" s="40">
        <v>118230</v>
      </c>
      <c r="H230" s="17">
        <v>4054334</v>
      </c>
      <c r="I230" s="17" t="s">
        <v>51</v>
      </c>
      <c r="J230" s="23" t="s">
        <v>711</v>
      </c>
      <c r="K230" s="17" t="s">
        <v>363</v>
      </c>
      <c r="L230" s="17" t="s">
        <v>709</v>
      </c>
      <c r="M230" s="13">
        <v>227359</v>
      </c>
    </row>
    <row r="231" spans="1:13" s="4" customFormat="1" ht="135" x14ac:dyDescent="0.25">
      <c r="A231" s="39" t="s">
        <v>818</v>
      </c>
      <c r="B231" s="17" t="s">
        <v>31</v>
      </c>
      <c r="C231" s="17" t="s">
        <v>704</v>
      </c>
      <c r="D231" s="13" t="s">
        <v>225</v>
      </c>
      <c r="E231" s="22">
        <v>45064</v>
      </c>
      <c r="F231" s="23" t="s">
        <v>705</v>
      </c>
      <c r="G231" s="40">
        <v>118230</v>
      </c>
      <c r="H231" s="17">
        <v>4054334</v>
      </c>
      <c r="I231" s="17" t="s">
        <v>51</v>
      </c>
      <c r="J231" s="23" t="s">
        <v>701</v>
      </c>
      <c r="K231" s="17" t="s">
        <v>700</v>
      </c>
      <c r="L231" s="17" t="s">
        <v>703</v>
      </c>
      <c r="M231" s="13">
        <v>2758.94</v>
      </c>
    </row>
    <row r="232" spans="1:13" s="4" customFormat="1" ht="135" x14ac:dyDescent="0.25">
      <c r="A232" s="39" t="s">
        <v>817</v>
      </c>
      <c r="B232" s="17" t="s">
        <v>31</v>
      </c>
      <c r="C232" s="17" t="s">
        <v>699</v>
      </c>
      <c r="D232" s="13" t="s">
        <v>225</v>
      </c>
      <c r="E232" s="22">
        <v>45064</v>
      </c>
      <c r="F232" s="23" t="s">
        <v>702</v>
      </c>
      <c r="G232" s="40">
        <v>118230</v>
      </c>
      <c r="H232" s="17">
        <v>4054334</v>
      </c>
      <c r="I232" s="17" t="s">
        <v>51</v>
      </c>
      <c r="J232" s="23" t="s">
        <v>701</v>
      </c>
      <c r="K232" s="17" t="s">
        <v>700</v>
      </c>
      <c r="L232" s="17" t="s">
        <v>698</v>
      </c>
      <c r="M232" s="13">
        <v>2535.7800000000002</v>
      </c>
    </row>
    <row r="233" spans="1:13" s="4" customFormat="1" ht="180" x14ac:dyDescent="0.25">
      <c r="A233" s="39" t="s">
        <v>819</v>
      </c>
      <c r="B233" s="17" t="s">
        <v>31</v>
      </c>
      <c r="C233" s="17" t="s">
        <v>707</v>
      </c>
      <c r="D233" s="13" t="s">
        <v>225</v>
      </c>
      <c r="E233" s="22">
        <v>45064</v>
      </c>
      <c r="F233" s="23" t="s">
        <v>708</v>
      </c>
      <c r="G233" s="40">
        <v>118230</v>
      </c>
      <c r="H233" s="17">
        <v>4054334</v>
      </c>
      <c r="I233" s="17" t="s">
        <v>51</v>
      </c>
      <c r="J233" s="23" t="s">
        <v>701</v>
      </c>
      <c r="K233" s="17" t="s">
        <v>700</v>
      </c>
      <c r="L233" s="17" t="s">
        <v>706</v>
      </c>
      <c r="M233" s="13">
        <v>3086.31</v>
      </c>
    </row>
    <row r="234" spans="1:13" ht="120" x14ac:dyDescent="0.25">
      <c r="A234" s="39" t="s">
        <v>805</v>
      </c>
      <c r="B234" s="17" t="s">
        <v>657</v>
      </c>
      <c r="C234" s="17" t="s">
        <v>656</v>
      </c>
      <c r="D234" s="13" t="s">
        <v>223</v>
      </c>
      <c r="E234" s="22">
        <v>45064</v>
      </c>
      <c r="F234" s="23" t="s">
        <v>658</v>
      </c>
      <c r="G234" s="40">
        <v>118230</v>
      </c>
      <c r="H234" s="17">
        <v>4054334</v>
      </c>
      <c r="I234" s="17" t="s">
        <v>51</v>
      </c>
      <c r="J234" s="23" t="s">
        <v>337</v>
      </c>
      <c r="K234" s="17" t="s">
        <v>267</v>
      </c>
      <c r="L234" s="17" t="s">
        <v>655</v>
      </c>
      <c r="M234" s="13">
        <v>35160</v>
      </c>
    </row>
    <row r="235" spans="1:13" ht="105" x14ac:dyDescent="0.25">
      <c r="A235" s="39" t="s">
        <v>825</v>
      </c>
      <c r="B235" s="17" t="s">
        <v>730</v>
      </c>
      <c r="C235" s="17" t="s">
        <v>729</v>
      </c>
      <c r="D235" s="57" t="s">
        <v>1098</v>
      </c>
      <c r="E235" s="22">
        <v>45065</v>
      </c>
      <c r="F235" s="23" t="s">
        <v>733</v>
      </c>
      <c r="G235" s="40">
        <v>110180</v>
      </c>
      <c r="H235" s="12">
        <v>4054334</v>
      </c>
      <c r="I235" s="12" t="s">
        <v>51</v>
      </c>
      <c r="J235" s="6" t="s">
        <v>732</v>
      </c>
      <c r="K235" s="12" t="s">
        <v>731</v>
      </c>
      <c r="L235" s="12" t="s">
        <v>728</v>
      </c>
      <c r="M235" s="13">
        <v>19500</v>
      </c>
    </row>
    <row r="236" spans="1:13" ht="105" x14ac:dyDescent="0.25">
      <c r="A236" s="39" t="s">
        <v>823</v>
      </c>
      <c r="B236" s="17" t="s">
        <v>721</v>
      </c>
      <c r="C236" s="17" t="s">
        <v>720</v>
      </c>
      <c r="D236" s="13" t="s">
        <v>225</v>
      </c>
      <c r="E236" s="22">
        <v>45065</v>
      </c>
      <c r="F236" s="23" t="s">
        <v>724</v>
      </c>
      <c r="G236" s="40">
        <v>117693</v>
      </c>
      <c r="H236" s="17">
        <v>4054334</v>
      </c>
      <c r="I236" s="17" t="s">
        <v>51</v>
      </c>
      <c r="J236" s="23" t="s">
        <v>723</v>
      </c>
      <c r="K236" s="17" t="s">
        <v>722</v>
      </c>
      <c r="L236" s="17" t="s">
        <v>719</v>
      </c>
      <c r="M236" s="13">
        <v>22660</v>
      </c>
    </row>
    <row r="237" spans="1:13" ht="60" x14ac:dyDescent="0.25">
      <c r="A237" s="39" t="s">
        <v>824</v>
      </c>
      <c r="B237" s="17" t="s">
        <v>38</v>
      </c>
      <c r="C237" s="17" t="s">
        <v>726</v>
      </c>
      <c r="D237" s="13" t="s">
        <v>223</v>
      </c>
      <c r="E237" s="22">
        <v>45065</v>
      </c>
      <c r="F237" s="23" t="s">
        <v>727</v>
      </c>
      <c r="G237" s="40">
        <v>117693</v>
      </c>
      <c r="H237" s="17">
        <v>4054334</v>
      </c>
      <c r="I237" s="17" t="s">
        <v>51</v>
      </c>
      <c r="J237" s="23" t="s">
        <v>619</v>
      </c>
      <c r="K237" s="17" t="s">
        <v>618</v>
      </c>
      <c r="L237" s="17" t="s">
        <v>725</v>
      </c>
      <c r="M237" s="13">
        <v>1742</v>
      </c>
    </row>
    <row r="238" spans="1:13" ht="90" x14ac:dyDescent="0.25">
      <c r="A238" s="46" t="s">
        <v>827</v>
      </c>
      <c r="B238" s="17" t="s">
        <v>45</v>
      </c>
      <c r="C238" s="17" t="s">
        <v>739</v>
      </c>
      <c r="D238" s="13" t="s">
        <v>225</v>
      </c>
      <c r="E238" s="22">
        <v>45068</v>
      </c>
      <c r="F238" s="23" t="s">
        <v>740</v>
      </c>
      <c r="G238" s="40">
        <v>118230</v>
      </c>
      <c r="H238" s="17">
        <v>4054334</v>
      </c>
      <c r="I238" s="17" t="s">
        <v>51</v>
      </c>
      <c r="J238" s="23" t="s">
        <v>693</v>
      </c>
      <c r="K238" s="17" t="s">
        <v>692</v>
      </c>
      <c r="L238" s="17" t="s">
        <v>738</v>
      </c>
      <c r="M238" s="13">
        <v>3095081</v>
      </c>
    </row>
    <row r="239" spans="1:13" ht="150" x14ac:dyDescent="0.25">
      <c r="A239" s="39" t="s">
        <v>826</v>
      </c>
      <c r="B239" s="17" t="s">
        <v>31</v>
      </c>
      <c r="C239" s="17" t="s">
        <v>735</v>
      </c>
      <c r="D239" s="13" t="s">
        <v>225</v>
      </c>
      <c r="E239" s="22">
        <v>45068</v>
      </c>
      <c r="F239" s="23" t="s">
        <v>737</v>
      </c>
      <c r="G239" s="40">
        <v>118230</v>
      </c>
      <c r="H239" s="17">
        <v>4054334</v>
      </c>
      <c r="I239" s="17" t="s">
        <v>51</v>
      </c>
      <c r="J239" s="23" t="s">
        <v>701</v>
      </c>
      <c r="K239" s="17" t="s">
        <v>736</v>
      </c>
      <c r="L239" s="17" t="s">
        <v>734</v>
      </c>
      <c r="M239" s="13">
        <v>44185.26</v>
      </c>
    </row>
    <row r="240" spans="1:13" ht="75" x14ac:dyDescent="0.25">
      <c r="A240" s="39" t="s">
        <v>828</v>
      </c>
      <c r="B240" s="17" t="s">
        <v>28</v>
      </c>
      <c r="C240" s="17" t="s">
        <v>742</v>
      </c>
      <c r="D240" s="13" t="s">
        <v>223</v>
      </c>
      <c r="E240" s="22">
        <v>45069</v>
      </c>
      <c r="F240" s="23" t="s">
        <v>743</v>
      </c>
      <c r="G240" s="40">
        <v>118230</v>
      </c>
      <c r="H240" s="17">
        <v>4054334</v>
      </c>
      <c r="I240" s="17" t="s">
        <v>51</v>
      </c>
      <c r="J240" s="23" t="s">
        <v>97</v>
      </c>
      <c r="K240" s="17" t="s">
        <v>98</v>
      </c>
      <c r="L240" s="17" t="s">
        <v>741</v>
      </c>
      <c r="M240" s="13">
        <v>18600</v>
      </c>
    </row>
    <row r="241" spans="1:14" s="4" customFormat="1" ht="78" customHeight="1" x14ac:dyDescent="0.25">
      <c r="A241" s="17" t="s">
        <v>844</v>
      </c>
      <c r="B241" s="17" t="s">
        <v>45</v>
      </c>
      <c r="C241" s="17" t="s">
        <v>483</v>
      </c>
      <c r="D241" s="13" t="s">
        <v>225</v>
      </c>
      <c r="E241" s="22">
        <v>45070</v>
      </c>
      <c r="F241" s="23">
        <v>241</v>
      </c>
      <c r="G241" s="40">
        <v>118230</v>
      </c>
      <c r="H241" s="17" t="s">
        <v>50</v>
      </c>
      <c r="I241" s="17" t="s">
        <v>51</v>
      </c>
      <c r="J241" s="23">
        <v>3211508674</v>
      </c>
      <c r="K241" s="17" t="s">
        <v>540</v>
      </c>
      <c r="L241" s="17" t="s">
        <v>519</v>
      </c>
      <c r="M241" s="18">
        <v>373097.95</v>
      </c>
    </row>
    <row r="242" spans="1:14" s="4" customFormat="1" ht="78" customHeight="1" x14ac:dyDescent="0.25">
      <c r="A242" s="39" t="s">
        <v>830</v>
      </c>
      <c r="B242" s="17" t="s">
        <v>413</v>
      </c>
      <c r="C242" s="17" t="s">
        <v>751</v>
      </c>
      <c r="D242" s="13" t="s">
        <v>223</v>
      </c>
      <c r="E242" s="22">
        <v>45071</v>
      </c>
      <c r="F242" s="23" t="s">
        <v>754</v>
      </c>
      <c r="G242" s="40">
        <v>118240</v>
      </c>
      <c r="H242" s="17" t="s">
        <v>50</v>
      </c>
      <c r="I242" s="17" t="s">
        <v>51</v>
      </c>
      <c r="J242" s="23" t="s">
        <v>753</v>
      </c>
      <c r="K242" s="17" t="s">
        <v>752</v>
      </c>
      <c r="L242" s="17" t="s">
        <v>750</v>
      </c>
      <c r="M242" s="13">
        <v>45000</v>
      </c>
    </row>
    <row r="243" spans="1:14" s="4" customFormat="1" ht="78" customHeight="1" x14ac:dyDescent="0.25">
      <c r="A243" s="39" t="s">
        <v>831</v>
      </c>
      <c r="B243" s="17" t="s">
        <v>746</v>
      </c>
      <c r="C243" s="17" t="s">
        <v>745</v>
      </c>
      <c r="D243" s="13" t="s">
        <v>845</v>
      </c>
      <c r="E243" s="22">
        <v>45071</v>
      </c>
      <c r="F243" s="23" t="s">
        <v>755</v>
      </c>
      <c r="G243" s="40">
        <v>118240</v>
      </c>
      <c r="H243" s="17" t="s">
        <v>50</v>
      </c>
      <c r="I243" s="17" t="s">
        <v>51</v>
      </c>
      <c r="J243" s="23" t="s">
        <v>748</v>
      </c>
      <c r="K243" s="17" t="s">
        <v>747</v>
      </c>
      <c r="L243" s="17" t="s">
        <v>744</v>
      </c>
      <c r="M243" s="13">
        <v>166056</v>
      </c>
    </row>
    <row r="244" spans="1:14" ht="75" x14ac:dyDescent="0.25">
      <c r="A244" s="39" t="s">
        <v>829</v>
      </c>
      <c r="B244" s="17" t="s">
        <v>746</v>
      </c>
      <c r="C244" s="17" t="s">
        <v>745</v>
      </c>
      <c r="D244" s="13" t="s">
        <v>845</v>
      </c>
      <c r="E244" s="22">
        <v>45071</v>
      </c>
      <c r="F244" s="23" t="s">
        <v>749</v>
      </c>
      <c r="G244" s="40">
        <v>118240</v>
      </c>
      <c r="H244" s="17">
        <v>4054334</v>
      </c>
      <c r="I244" s="17" t="s">
        <v>51</v>
      </c>
      <c r="J244" s="23" t="s">
        <v>748</v>
      </c>
      <c r="K244" s="17" t="s">
        <v>747</v>
      </c>
      <c r="L244" s="17" t="s">
        <v>744</v>
      </c>
      <c r="M244" s="13">
        <v>166056</v>
      </c>
    </row>
    <row r="245" spans="1:14" ht="90" x14ac:dyDescent="0.25">
      <c r="A245" s="39" t="s">
        <v>832</v>
      </c>
      <c r="B245" s="17" t="s">
        <v>54</v>
      </c>
      <c r="C245" s="17" t="s">
        <v>55</v>
      </c>
      <c r="D245" s="13" t="s">
        <v>225</v>
      </c>
      <c r="E245" s="22">
        <v>45071</v>
      </c>
      <c r="F245" s="23" t="s">
        <v>758</v>
      </c>
      <c r="G245" s="40">
        <v>117700</v>
      </c>
      <c r="H245" s="17">
        <v>4054334</v>
      </c>
      <c r="I245" s="17" t="s">
        <v>51</v>
      </c>
      <c r="J245" s="23" t="s">
        <v>757</v>
      </c>
      <c r="K245" s="17" t="s">
        <v>756</v>
      </c>
      <c r="L245" s="17" t="s">
        <v>181</v>
      </c>
      <c r="M245" s="13">
        <v>50000</v>
      </c>
    </row>
    <row r="246" spans="1:14" ht="165" x14ac:dyDescent="0.25">
      <c r="A246" s="39" t="s">
        <v>833</v>
      </c>
      <c r="B246" s="17" t="s">
        <v>761</v>
      </c>
      <c r="C246" s="17" t="s">
        <v>760</v>
      </c>
      <c r="D246" s="13" t="s">
        <v>846</v>
      </c>
      <c r="E246" s="22">
        <v>45075</v>
      </c>
      <c r="F246" s="23" t="s">
        <v>764</v>
      </c>
      <c r="G246" s="40">
        <v>117350</v>
      </c>
      <c r="H246" s="17">
        <v>4054334</v>
      </c>
      <c r="I246" s="17" t="s">
        <v>51</v>
      </c>
      <c r="J246" s="23" t="s">
        <v>763</v>
      </c>
      <c r="K246" s="17" t="s">
        <v>762</v>
      </c>
      <c r="L246" s="17" t="s">
        <v>759</v>
      </c>
      <c r="M246" s="13">
        <v>198986</v>
      </c>
    </row>
    <row r="247" spans="1:14" s="4" customFormat="1" ht="105" x14ac:dyDescent="0.25">
      <c r="A247" s="39" t="s">
        <v>836</v>
      </c>
      <c r="B247" s="17" t="s">
        <v>563</v>
      </c>
      <c r="C247" s="17" t="s">
        <v>774</v>
      </c>
      <c r="D247" s="13" t="s">
        <v>223</v>
      </c>
      <c r="E247" s="22">
        <v>45076</v>
      </c>
      <c r="F247" s="23" t="s">
        <v>775</v>
      </c>
      <c r="G247" s="40">
        <v>118230</v>
      </c>
      <c r="H247" s="17">
        <v>4054334</v>
      </c>
      <c r="I247" s="17" t="s">
        <v>51</v>
      </c>
      <c r="J247" s="23" t="s">
        <v>560</v>
      </c>
      <c r="K247" s="17" t="s">
        <v>559</v>
      </c>
      <c r="L247" s="17" t="s">
        <v>561</v>
      </c>
      <c r="M247" s="13">
        <v>432900</v>
      </c>
    </row>
    <row r="248" spans="1:14" s="4" customFormat="1" ht="75" x14ac:dyDescent="0.25">
      <c r="A248" s="39" t="s">
        <v>835</v>
      </c>
      <c r="B248" s="17" t="s">
        <v>566</v>
      </c>
      <c r="C248" s="17" t="s">
        <v>772</v>
      </c>
      <c r="D248" s="13" t="s">
        <v>845</v>
      </c>
      <c r="E248" s="22">
        <v>45076</v>
      </c>
      <c r="F248" s="23" t="s">
        <v>773</v>
      </c>
      <c r="G248" s="40">
        <v>118230</v>
      </c>
      <c r="H248" s="17">
        <v>4054334</v>
      </c>
      <c r="I248" s="17" t="s">
        <v>51</v>
      </c>
      <c r="J248" s="23" t="s">
        <v>568</v>
      </c>
      <c r="K248" s="17" t="s">
        <v>567</v>
      </c>
      <c r="L248" s="17" t="s">
        <v>771</v>
      </c>
      <c r="M248" s="13">
        <v>929518</v>
      </c>
    </row>
    <row r="249" spans="1:14" s="4" customFormat="1" ht="409.5" x14ac:dyDescent="0.25">
      <c r="A249" s="39" t="s">
        <v>837</v>
      </c>
      <c r="B249" s="17" t="s">
        <v>778</v>
      </c>
      <c r="C249" s="17" t="s">
        <v>777</v>
      </c>
      <c r="D249" s="13" t="s">
        <v>223</v>
      </c>
      <c r="E249" s="22">
        <v>45076</v>
      </c>
      <c r="F249" s="23" t="s">
        <v>781</v>
      </c>
      <c r="G249" s="40">
        <v>110150</v>
      </c>
      <c r="H249" s="17">
        <v>4054334</v>
      </c>
      <c r="I249" s="17" t="s">
        <v>51</v>
      </c>
      <c r="J249" s="23" t="s">
        <v>780</v>
      </c>
      <c r="K249" s="17" t="s">
        <v>779</v>
      </c>
      <c r="L249" s="17" t="s">
        <v>776</v>
      </c>
      <c r="M249" s="13">
        <v>99252</v>
      </c>
    </row>
    <row r="250" spans="1:14" ht="60" x14ac:dyDescent="0.25">
      <c r="A250" s="39" t="s">
        <v>834</v>
      </c>
      <c r="B250" s="17" t="s">
        <v>767</v>
      </c>
      <c r="C250" s="17" t="s">
        <v>766</v>
      </c>
      <c r="D250" s="13" t="s">
        <v>225</v>
      </c>
      <c r="E250" s="22">
        <v>45076</v>
      </c>
      <c r="F250" s="23" t="s">
        <v>770</v>
      </c>
      <c r="G250" s="40">
        <v>110180</v>
      </c>
      <c r="H250" s="12">
        <v>4054334</v>
      </c>
      <c r="I250" s="12" t="s">
        <v>51</v>
      </c>
      <c r="J250" s="6" t="s">
        <v>769</v>
      </c>
      <c r="K250" s="12" t="s">
        <v>768</v>
      </c>
      <c r="L250" s="12" t="s">
        <v>765</v>
      </c>
      <c r="M250" s="13">
        <v>21240</v>
      </c>
      <c r="N250" s="55"/>
    </row>
    <row r="251" spans="1:14" ht="105" x14ac:dyDescent="0.25">
      <c r="A251" s="12" t="s">
        <v>847</v>
      </c>
      <c r="B251" s="12" t="s">
        <v>45</v>
      </c>
      <c r="C251" s="12" t="s">
        <v>396</v>
      </c>
      <c r="D251" s="13" t="s">
        <v>225</v>
      </c>
      <c r="E251" s="14">
        <v>45076</v>
      </c>
      <c r="F251" s="6">
        <v>251</v>
      </c>
      <c r="G251" s="31">
        <v>118230</v>
      </c>
      <c r="H251" s="12" t="s">
        <v>50</v>
      </c>
      <c r="I251" s="12" t="s">
        <v>51</v>
      </c>
      <c r="J251" s="6">
        <v>34517875</v>
      </c>
      <c r="K251" s="12" t="s">
        <v>100</v>
      </c>
      <c r="L251" s="12" t="s">
        <v>397</v>
      </c>
      <c r="M251" s="13">
        <v>467562</v>
      </c>
    </row>
    <row r="252" spans="1:14" ht="105" x14ac:dyDescent="0.25">
      <c r="A252" s="17" t="s">
        <v>848</v>
      </c>
      <c r="B252" s="17" t="s">
        <v>45</v>
      </c>
      <c r="C252" s="17" t="s">
        <v>386</v>
      </c>
      <c r="D252" s="13" t="s">
        <v>225</v>
      </c>
      <c r="E252" s="22">
        <v>45076</v>
      </c>
      <c r="F252" s="23">
        <v>252</v>
      </c>
      <c r="G252" s="33">
        <v>118230</v>
      </c>
      <c r="H252" s="17" t="s">
        <v>50</v>
      </c>
      <c r="I252" s="17" t="s">
        <v>51</v>
      </c>
      <c r="J252" s="23">
        <v>34517875</v>
      </c>
      <c r="K252" s="17" t="s">
        <v>100</v>
      </c>
      <c r="L252" s="17" t="s">
        <v>387</v>
      </c>
      <c r="M252" s="18">
        <v>1132334.3999999999</v>
      </c>
    </row>
    <row r="253" spans="1:14" ht="165" x14ac:dyDescent="0.25">
      <c r="A253" s="17" t="s">
        <v>849</v>
      </c>
      <c r="B253" s="17" t="s">
        <v>31</v>
      </c>
      <c r="C253" s="17" t="s">
        <v>388</v>
      </c>
      <c r="D253" s="13" t="s">
        <v>225</v>
      </c>
      <c r="E253" s="22">
        <v>45076</v>
      </c>
      <c r="F253" s="23">
        <v>253</v>
      </c>
      <c r="G253" s="33">
        <v>118230</v>
      </c>
      <c r="H253" s="17" t="s">
        <v>50</v>
      </c>
      <c r="I253" s="17" t="s">
        <v>51</v>
      </c>
      <c r="J253" s="23">
        <v>2461019017</v>
      </c>
      <c r="K253" s="17" t="s">
        <v>70</v>
      </c>
      <c r="L253" s="17" t="s">
        <v>389</v>
      </c>
      <c r="M253" s="18">
        <v>4267.88</v>
      </c>
    </row>
    <row r="254" spans="1:14" ht="180" x14ac:dyDescent="0.25">
      <c r="A254" s="12" t="s">
        <v>850</v>
      </c>
      <c r="B254" s="12" t="s">
        <v>31</v>
      </c>
      <c r="C254" s="12" t="s">
        <v>298</v>
      </c>
      <c r="D254" s="13" t="s">
        <v>225</v>
      </c>
      <c r="E254" s="22">
        <v>45076</v>
      </c>
      <c r="F254" s="6">
        <v>254</v>
      </c>
      <c r="G254" s="28">
        <v>118230</v>
      </c>
      <c r="H254" s="12" t="s">
        <v>50</v>
      </c>
      <c r="I254" s="12" t="s">
        <v>51</v>
      </c>
      <c r="J254" s="12" t="s">
        <v>69</v>
      </c>
      <c r="K254" s="12" t="s">
        <v>70</v>
      </c>
      <c r="L254" s="12" t="s">
        <v>297</v>
      </c>
      <c r="M254" s="13">
        <v>3102.23</v>
      </c>
    </row>
    <row r="255" spans="1:14" ht="150" x14ac:dyDescent="0.25">
      <c r="A255" s="17" t="s">
        <v>851</v>
      </c>
      <c r="B255" s="17" t="s">
        <v>31</v>
      </c>
      <c r="C255" s="17" t="s">
        <v>484</v>
      </c>
      <c r="D255" s="13" t="s">
        <v>225</v>
      </c>
      <c r="E255" s="22">
        <v>45076</v>
      </c>
      <c r="F255" s="23">
        <v>255</v>
      </c>
      <c r="G255" s="40">
        <v>118230</v>
      </c>
      <c r="H255" s="17" t="s">
        <v>50</v>
      </c>
      <c r="I255" s="17" t="s">
        <v>51</v>
      </c>
      <c r="J255" s="23">
        <v>2461019017</v>
      </c>
      <c r="K255" s="17" t="s">
        <v>70</v>
      </c>
      <c r="L255" s="17" t="s">
        <v>520</v>
      </c>
      <c r="M255" s="18">
        <v>4395.41</v>
      </c>
    </row>
    <row r="256" spans="1:14" ht="150" x14ac:dyDescent="0.25">
      <c r="A256" s="17" t="s">
        <v>852</v>
      </c>
      <c r="B256" s="17" t="s">
        <v>378</v>
      </c>
      <c r="C256" s="17" t="s">
        <v>717</v>
      </c>
      <c r="D256" s="13" t="s">
        <v>225</v>
      </c>
      <c r="E256" s="22">
        <v>45076</v>
      </c>
      <c r="F256" s="23">
        <v>256</v>
      </c>
      <c r="G256" s="40">
        <v>118230</v>
      </c>
      <c r="H256" s="17">
        <v>4054334</v>
      </c>
      <c r="I256" s="17" t="s">
        <v>51</v>
      </c>
      <c r="J256" s="23" t="s">
        <v>91</v>
      </c>
      <c r="K256" s="17" t="s">
        <v>92</v>
      </c>
      <c r="L256" s="17" t="s">
        <v>716</v>
      </c>
      <c r="M256" s="13">
        <v>281275.96999999997</v>
      </c>
    </row>
    <row r="257" spans="1:13" ht="165" x14ac:dyDescent="0.25">
      <c r="A257" s="17" t="s">
        <v>853</v>
      </c>
      <c r="B257" s="17" t="s">
        <v>31</v>
      </c>
      <c r="C257" s="17" t="s">
        <v>714</v>
      </c>
      <c r="D257" s="13" t="s">
        <v>225</v>
      </c>
      <c r="E257" s="22">
        <v>45076</v>
      </c>
      <c r="F257" s="23">
        <v>257</v>
      </c>
      <c r="G257" s="40">
        <v>118230</v>
      </c>
      <c r="H257" s="17">
        <v>4054334</v>
      </c>
      <c r="I257" s="17" t="s">
        <v>51</v>
      </c>
      <c r="J257" s="23" t="s">
        <v>701</v>
      </c>
      <c r="K257" s="17" t="s">
        <v>700</v>
      </c>
      <c r="L257" s="17" t="s">
        <v>713</v>
      </c>
      <c r="M257" s="13">
        <v>3968.13</v>
      </c>
    </row>
    <row r="258" spans="1:13" ht="165" x14ac:dyDescent="0.25">
      <c r="A258" s="17" t="s">
        <v>854</v>
      </c>
      <c r="B258" s="17" t="s">
        <v>31</v>
      </c>
      <c r="C258" s="17" t="s">
        <v>402</v>
      </c>
      <c r="D258" s="13" t="s">
        <v>225</v>
      </c>
      <c r="E258" s="22">
        <v>45076</v>
      </c>
      <c r="F258" s="23">
        <v>258</v>
      </c>
      <c r="G258" s="25">
        <v>118230</v>
      </c>
      <c r="H258" s="17" t="s">
        <v>50</v>
      </c>
      <c r="I258" s="17" t="s">
        <v>51</v>
      </c>
      <c r="J258" s="23">
        <v>2461019017</v>
      </c>
      <c r="K258" s="17" t="s">
        <v>70</v>
      </c>
      <c r="L258" s="17" t="s">
        <v>403</v>
      </c>
      <c r="M258" s="18">
        <v>12262.91</v>
      </c>
    </row>
    <row r="259" spans="1:13" ht="165" x14ac:dyDescent="0.25">
      <c r="A259" s="17" t="s">
        <v>855</v>
      </c>
      <c r="B259" s="17" t="s">
        <v>31</v>
      </c>
      <c r="C259" s="17" t="s">
        <v>404</v>
      </c>
      <c r="D259" s="13" t="s">
        <v>225</v>
      </c>
      <c r="E259" s="22">
        <v>45076</v>
      </c>
      <c r="F259" s="23">
        <v>259</v>
      </c>
      <c r="G259" s="25">
        <v>118230</v>
      </c>
      <c r="H259" s="17" t="s">
        <v>50</v>
      </c>
      <c r="I259" s="17" t="s">
        <v>51</v>
      </c>
      <c r="J259" s="23">
        <v>2461019017</v>
      </c>
      <c r="K259" s="17" t="s">
        <v>70</v>
      </c>
      <c r="L259" s="17" t="s">
        <v>405</v>
      </c>
      <c r="M259" s="18">
        <v>5378.78</v>
      </c>
    </row>
    <row r="260" spans="1:13" ht="112.5" customHeight="1" x14ac:dyDescent="0.25">
      <c r="A260" s="17" t="s">
        <v>860</v>
      </c>
      <c r="B260" s="17" t="s">
        <v>861</v>
      </c>
      <c r="C260" s="17" t="s">
        <v>858</v>
      </c>
      <c r="D260" s="13" t="s">
        <v>225</v>
      </c>
      <c r="E260" s="22">
        <v>45079</v>
      </c>
      <c r="F260" s="23">
        <v>260</v>
      </c>
      <c r="G260" s="25">
        <v>118230</v>
      </c>
      <c r="H260" s="17" t="s">
        <v>50</v>
      </c>
      <c r="I260" s="17" t="s">
        <v>51</v>
      </c>
      <c r="J260" s="23">
        <v>33932580</v>
      </c>
      <c r="K260" s="17" t="s">
        <v>857</v>
      </c>
      <c r="L260" s="17" t="s">
        <v>859</v>
      </c>
      <c r="M260" s="18">
        <v>21312.94</v>
      </c>
    </row>
    <row r="261" spans="1:13" ht="64.5" customHeight="1" x14ac:dyDescent="0.25">
      <c r="A261" s="17" t="s">
        <v>864</v>
      </c>
      <c r="B261" s="17" t="s">
        <v>863</v>
      </c>
      <c r="C261" s="17" t="s">
        <v>766</v>
      </c>
      <c r="D261" s="13" t="s">
        <v>225</v>
      </c>
      <c r="E261" s="22">
        <v>45079</v>
      </c>
      <c r="F261" s="23">
        <v>261</v>
      </c>
      <c r="G261" s="25">
        <v>117693</v>
      </c>
      <c r="H261" s="17" t="s">
        <v>50</v>
      </c>
      <c r="I261" s="17" t="s">
        <v>51</v>
      </c>
      <c r="J261" s="23">
        <v>3088905821</v>
      </c>
      <c r="K261" s="17" t="s">
        <v>862</v>
      </c>
      <c r="L261" s="17" t="s">
        <v>765</v>
      </c>
      <c r="M261" s="18">
        <v>48900</v>
      </c>
    </row>
    <row r="262" spans="1:13" ht="63.75" customHeight="1" x14ac:dyDescent="0.25">
      <c r="A262" s="17" t="s">
        <v>867</v>
      </c>
      <c r="B262" s="17" t="s">
        <v>868</v>
      </c>
      <c r="C262" s="17" t="s">
        <v>865</v>
      </c>
      <c r="D262" s="13" t="s">
        <v>223</v>
      </c>
      <c r="E262" s="22">
        <v>45079</v>
      </c>
      <c r="F262" s="23">
        <v>262</v>
      </c>
      <c r="G262" s="25">
        <v>117693</v>
      </c>
      <c r="H262" s="17" t="s">
        <v>50</v>
      </c>
      <c r="I262" s="17" t="s">
        <v>51</v>
      </c>
      <c r="J262" s="23">
        <v>2324303456</v>
      </c>
      <c r="K262" s="17" t="s">
        <v>427</v>
      </c>
      <c r="L262" s="17" t="s">
        <v>866</v>
      </c>
      <c r="M262" s="18">
        <v>8190</v>
      </c>
    </row>
    <row r="263" spans="1:13" ht="60" x14ac:dyDescent="0.25">
      <c r="A263" s="17" t="s">
        <v>872</v>
      </c>
      <c r="B263" s="17" t="s">
        <v>871</v>
      </c>
      <c r="C263" s="17" t="s">
        <v>870</v>
      </c>
      <c r="D263" s="13" t="s">
        <v>223</v>
      </c>
      <c r="E263" s="22">
        <v>45079</v>
      </c>
      <c r="F263" s="23">
        <v>263</v>
      </c>
      <c r="G263" s="25">
        <v>117693</v>
      </c>
      <c r="H263" s="17" t="s">
        <v>50</v>
      </c>
      <c r="I263" s="17" t="s">
        <v>51</v>
      </c>
      <c r="J263" s="23">
        <v>3227406316</v>
      </c>
      <c r="K263" s="17" t="s">
        <v>82</v>
      </c>
      <c r="L263" s="17" t="s">
        <v>869</v>
      </c>
      <c r="M263" s="18">
        <v>15000</v>
      </c>
    </row>
    <row r="264" spans="1:13" ht="60" x14ac:dyDescent="0.25">
      <c r="A264" s="17" t="s">
        <v>875</v>
      </c>
      <c r="B264" s="17" t="s">
        <v>38</v>
      </c>
      <c r="C264" s="17" t="s">
        <v>874</v>
      </c>
      <c r="D264" s="13" t="s">
        <v>223</v>
      </c>
      <c r="E264" s="22">
        <v>45085</v>
      </c>
      <c r="F264" s="23">
        <v>264</v>
      </c>
      <c r="G264" s="25">
        <v>110150</v>
      </c>
      <c r="H264" s="17" t="s">
        <v>50</v>
      </c>
      <c r="I264" s="17" t="s">
        <v>51</v>
      </c>
      <c r="J264" s="23">
        <v>2373411924</v>
      </c>
      <c r="K264" s="17" t="s">
        <v>624</v>
      </c>
      <c r="L264" s="17" t="s">
        <v>873</v>
      </c>
      <c r="M264" s="18">
        <v>2786</v>
      </c>
    </row>
    <row r="265" spans="1:13" ht="170.25" customHeight="1" x14ac:dyDescent="0.25">
      <c r="A265" s="17" t="s">
        <v>878</v>
      </c>
      <c r="B265" s="17" t="s">
        <v>37</v>
      </c>
      <c r="C265" s="17" t="s">
        <v>877</v>
      </c>
      <c r="D265" s="13" t="s">
        <v>223</v>
      </c>
      <c r="E265" s="22">
        <v>45085</v>
      </c>
      <c r="F265" s="23">
        <v>265</v>
      </c>
      <c r="G265" s="25">
        <v>110150</v>
      </c>
      <c r="H265" s="17" t="s">
        <v>50</v>
      </c>
      <c r="I265" s="17" t="s">
        <v>51</v>
      </c>
      <c r="J265" s="23">
        <v>2440503412</v>
      </c>
      <c r="K265" s="17" t="s">
        <v>68</v>
      </c>
      <c r="L265" s="17" t="s">
        <v>876</v>
      </c>
      <c r="M265" s="18">
        <v>6175</v>
      </c>
    </row>
    <row r="266" spans="1:13" ht="59.25" customHeight="1" x14ac:dyDescent="0.25">
      <c r="A266" s="17" t="s">
        <v>881</v>
      </c>
      <c r="B266" s="17" t="s">
        <v>678</v>
      </c>
      <c r="C266" s="17" t="s">
        <v>880</v>
      </c>
      <c r="D266" s="13" t="s">
        <v>223</v>
      </c>
      <c r="E266" s="22">
        <v>45085</v>
      </c>
      <c r="F266" s="23">
        <v>266</v>
      </c>
      <c r="G266" s="25">
        <v>110150</v>
      </c>
      <c r="H266" s="17" t="s">
        <v>50</v>
      </c>
      <c r="I266" s="17" t="s">
        <v>51</v>
      </c>
      <c r="J266" s="23" t="s">
        <v>625</v>
      </c>
      <c r="K266" s="17" t="s">
        <v>624</v>
      </c>
      <c r="L266" s="17" t="s">
        <v>879</v>
      </c>
      <c r="M266" s="18">
        <v>5625</v>
      </c>
    </row>
    <row r="267" spans="1:13" ht="90" x14ac:dyDescent="0.25">
      <c r="A267" s="17" t="s">
        <v>884</v>
      </c>
      <c r="B267" s="17" t="s">
        <v>882</v>
      </c>
      <c r="C267" s="17" t="s">
        <v>883</v>
      </c>
      <c r="D267" s="13" t="s">
        <v>223</v>
      </c>
      <c r="E267" s="22">
        <v>45085</v>
      </c>
      <c r="F267" s="23">
        <v>267</v>
      </c>
      <c r="G267" s="25">
        <v>110150</v>
      </c>
      <c r="H267" s="17" t="s">
        <v>50</v>
      </c>
      <c r="I267" s="17" t="s">
        <v>51</v>
      </c>
      <c r="J267" s="23" t="s">
        <v>625</v>
      </c>
      <c r="K267" s="17" t="s">
        <v>624</v>
      </c>
      <c r="L267" s="17" t="s">
        <v>882</v>
      </c>
      <c r="M267" s="18">
        <v>2556</v>
      </c>
    </row>
    <row r="268" spans="1:13" ht="75" x14ac:dyDescent="0.25">
      <c r="A268" s="17" t="s">
        <v>886</v>
      </c>
      <c r="B268" s="17" t="s">
        <v>34</v>
      </c>
      <c r="C268" s="17" t="s">
        <v>885</v>
      </c>
      <c r="D268" s="13" t="s">
        <v>223</v>
      </c>
      <c r="E268" s="22">
        <v>45085</v>
      </c>
      <c r="F268" s="23">
        <v>268</v>
      </c>
      <c r="G268" s="25">
        <v>110150</v>
      </c>
      <c r="H268" s="17" t="s">
        <v>50</v>
      </c>
      <c r="I268" s="17" t="s">
        <v>51</v>
      </c>
      <c r="J268" s="23">
        <v>2440503412</v>
      </c>
      <c r="K268" s="17" t="s">
        <v>68</v>
      </c>
      <c r="L268" s="17" t="s">
        <v>889</v>
      </c>
      <c r="M268" s="18">
        <v>3360</v>
      </c>
    </row>
    <row r="269" spans="1:13" ht="120" x14ac:dyDescent="0.25">
      <c r="A269" s="17" t="s">
        <v>890</v>
      </c>
      <c r="B269" s="17" t="s">
        <v>33</v>
      </c>
      <c r="C269" s="17" t="s">
        <v>887</v>
      </c>
      <c r="D269" s="13" t="s">
        <v>223</v>
      </c>
      <c r="E269" s="22">
        <v>45085</v>
      </c>
      <c r="F269" s="23">
        <v>269</v>
      </c>
      <c r="G269" s="25">
        <v>110150</v>
      </c>
      <c r="H269" s="17" t="s">
        <v>50</v>
      </c>
      <c r="I269" s="17" t="s">
        <v>51</v>
      </c>
      <c r="J269" s="23">
        <v>2440503412</v>
      </c>
      <c r="K269" s="17" t="s">
        <v>68</v>
      </c>
      <c r="L269" s="17" t="s">
        <v>888</v>
      </c>
      <c r="M269" s="18">
        <v>2933</v>
      </c>
    </row>
    <row r="270" spans="1:13" ht="90" x14ac:dyDescent="0.25">
      <c r="A270" s="12" t="s">
        <v>892</v>
      </c>
      <c r="B270" s="12" t="s">
        <v>32</v>
      </c>
      <c r="C270" s="12" t="s">
        <v>891</v>
      </c>
      <c r="D270" s="13" t="s">
        <v>223</v>
      </c>
      <c r="E270" s="14">
        <v>45085</v>
      </c>
      <c r="F270" s="6">
        <v>270</v>
      </c>
      <c r="G270" s="31">
        <v>110150</v>
      </c>
      <c r="H270" s="12" t="s">
        <v>50</v>
      </c>
      <c r="I270" s="12" t="s">
        <v>51</v>
      </c>
      <c r="J270" s="6">
        <v>2440503412</v>
      </c>
      <c r="K270" s="12" t="s">
        <v>68</v>
      </c>
      <c r="L270" s="12" t="s">
        <v>896</v>
      </c>
      <c r="M270" s="18">
        <v>1520</v>
      </c>
    </row>
    <row r="271" spans="1:13" ht="75" x14ac:dyDescent="0.25">
      <c r="A271" s="17" t="s">
        <v>899</v>
      </c>
      <c r="B271" s="17" t="s">
        <v>897</v>
      </c>
      <c r="C271" s="17" t="s">
        <v>898</v>
      </c>
      <c r="D271" s="13" t="s">
        <v>225</v>
      </c>
      <c r="E271" s="22">
        <v>45085</v>
      </c>
      <c r="F271" s="23">
        <v>271</v>
      </c>
      <c r="G271" s="25">
        <v>110150</v>
      </c>
      <c r="H271" s="17" t="s">
        <v>50</v>
      </c>
      <c r="I271" s="17" t="s">
        <v>51</v>
      </c>
      <c r="J271" s="23" t="s">
        <v>893</v>
      </c>
      <c r="K271" s="17" t="s">
        <v>894</v>
      </c>
      <c r="L271" s="17" t="s">
        <v>895</v>
      </c>
      <c r="M271" s="18">
        <v>25000</v>
      </c>
    </row>
    <row r="272" spans="1:13" ht="188.25" customHeight="1" x14ac:dyDescent="0.25">
      <c r="A272" s="17" t="s">
        <v>903</v>
      </c>
      <c r="B272" s="17" t="s">
        <v>574</v>
      </c>
      <c r="C272" s="17" t="s">
        <v>904</v>
      </c>
      <c r="D272" s="13" t="s">
        <v>223</v>
      </c>
      <c r="E272" s="22">
        <v>45085</v>
      </c>
      <c r="F272" s="23">
        <v>272</v>
      </c>
      <c r="G272" s="25">
        <v>110150</v>
      </c>
      <c r="H272" s="17" t="s">
        <v>50</v>
      </c>
      <c r="I272" s="17" t="s">
        <v>51</v>
      </c>
      <c r="J272" s="23" t="s">
        <v>900</v>
      </c>
      <c r="K272" s="17" t="s">
        <v>901</v>
      </c>
      <c r="L272" s="17" t="s">
        <v>902</v>
      </c>
      <c r="M272" s="18">
        <v>208950.06</v>
      </c>
    </row>
    <row r="273" spans="1:13" s="4" customFormat="1" ht="69" customHeight="1" x14ac:dyDescent="0.25">
      <c r="A273" s="17" t="s">
        <v>909</v>
      </c>
      <c r="B273" s="17" t="s">
        <v>371</v>
      </c>
      <c r="C273" s="17" t="s">
        <v>907</v>
      </c>
      <c r="D273" s="13" t="s">
        <v>223</v>
      </c>
      <c r="E273" s="22">
        <v>45085</v>
      </c>
      <c r="F273" s="23">
        <v>273</v>
      </c>
      <c r="G273" s="25">
        <v>118230</v>
      </c>
      <c r="H273" s="17" t="s">
        <v>50</v>
      </c>
      <c r="I273" s="17" t="s">
        <v>51</v>
      </c>
      <c r="J273" s="23" t="s">
        <v>905</v>
      </c>
      <c r="K273" s="17" t="s">
        <v>906</v>
      </c>
      <c r="L273" s="17" t="s">
        <v>908</v>
      </c>
      <c r="M273" s="18">
        <v>16000</v>
      </c>
    </row>
    <row r="274" spans="1:13" s="4" customFormat="1" ht="126.75" customHeight="1" x14ac:dyDescent="0.25">
      <c r="A274" s="17" t="s">
        <v>914</v>
      </c>
      <c r="B274" s="17" t="s">
        <v>61</v>
      </c>
      <c r="C274" s="17" t="s">
        <v>913</v>
      </c>
      <c r="D274" s="13" t="s">
        <v>225</v>
      </c>
      <c r="E274" s="22">
        <v>45086</v>
      </c>
      <c r="F274" s="23">
        <v>274</v>
      </c>
      <c r="G274" s="25">
        <v>117693</v>
      </c>
      <c r="H274" s="17" t="s">
        <v>50</v>
      </c>
      <c r="I274" s="17" t="s">
        <v>51</v>
      </c>
      <c r="J274" s="23" t="s">
        <v>910</v>
      </c>
      <c r="K274" s="17" t="s">
        <v>911</v>
      </c>
      <c r="L274" s="17" t="s">
        <v>912</v>
      </c>
      <c r="M274" s="18">
        <v>79776</v>
      </c>
    </row>
    <row r="275" spans="1:13" s="4" customFormat="1" ht="63" customHeight="1" x14ac:dyDescent="0.25">
      <c r="A275" s="17" t="s">
        <v>917</v>
      </c>
      <c r="B275" s="17" t="s">
        <v>46</v>
      </c>
      <c r="C275" s="17" t="s">
        <v>43</v>
      </c>
      <c r="D275" s="13" t="s">
        <v>223</v>
      </c>
      <c r="E275" s="22">
        <v>45086</v>
      </c>
      <c r="F275" s="23">
        <v>275</v>
      </c>
      <c r="G275" s="25">
        <v>118220</v>
      </c>
      <c r="H275" s="17" t="s">
        <v>50</v>
      </c>
      <c r="I275" s="17" t="s">
        <v>51</v>
      </c>
      <c r="J275" s="23" t="s">
        <v>95</v>
      </c>
      <c r="K275" s="17" t="s">
        <v>915</v>
      </c>
      <c r="L275" s="17" t="s">
        <v>916</v>
      </c>
      <c r="M275" s="18">
        <v>320750</v>
      </c>
    </row>
    <row r="276" spans="1:13" s="4" customFormat="1" ht="346.5" customHeight="1" x14ac:dyDescent="0.25">
      <c r="A276" s="17" t="s">
        <v>919</v>
      </c>
      <c r="B276" s="17" t="s">
        <v>433</v>
      </c>
      <c r="C276" s="17" t="s">
        <v>918</v>
      </c>
      <c r="D276" s="13" t="s">
        <v>223</v>
      </c>
      <c r="E276" s="22">
        <v>45086</v>
      </c>
      <c r="F276" s="23">
        <v>276</v>
      </c>
      <c r="G276" s="31">
        <v>118230</v>
      </c>
      <c r="H276" s="17" t="s">
        <v>50</v>
      </c>
      <c r="I276" s="17" t="s">
        <v>51</v>
      </c>
      <c r="J276" s="23" t="s">
        <v>600</v>
      </c>
      <c r="K276" s="17" t="s">
        <v>599</v>
      </c>
      <c r="L276" s="17" t="s">
        <v>920</v>
      </c>
      <c r="M276" s="18">
        <v>115903.03</v>
      </c>
    </row>
    <row r="277" spans="1:13" s="4" customFormat="1" ht="83.25" customHeight="1" x14ac:dyDescent="0.25">
      <c r="A277" s="17" t="s">
        <v>925</v>
      </c>
      <c r="B277" s="17" t="s">
        <v>922</v>
      </c>
      <c r="C277" s="17" t="s">
        <v>923</v>
      </c>
      <c r="D277" s="13" t="s">
        <v>223</v>
      </c>
      <c r="E277" s="22">
        <v>45086</v>
      </c>
      <c r="F277" s="23">
        <v>277</v>
      </c>
      <c r="G277" s="31">
        <v>118230</v>
      </c>
      <c r="H277" s="17" t="s">
        <v>50</v>
      </c>
      <c r="I277" s="17" t="s">
        <v>51</v>
      </c>
      <c r="J277" s="23" t="s">
        <v>600</v>
      </c>
      <c r="K277" s="17" t="s">
        <v>599</v>
      </c>
      <c r="L277" s="17" t="s">
        <v>921</v>
      </c>
      <c r="M277" s="18">
        <v>55867.23</v>
      </c>
    </row>
    <row r="278" spans="1:13" s="4" customFormat="1" ht="83.25" customHeight="1" x14ac:dyDescent="0.25">
      <c r="A278" s="17" t="s">
        <v>926</v>
      </c>
      <c r="B278" s="17" t="s">
        <v>28</v>
      </c>
      <c r="C278" s="17" t="s">
        <v>924</v>
      </c>
      <c r="D278" s="13" t="s">
        <v>223</v>
      </c>
      <c r="E278" s="22">
        <v>45086</v>
      </c>
      <c r="F278" s="23">
        <v>278</v>
      </c>
      <c r="G278" s="31">
        <v>118230</v>
      </c>
      <c r="H278" s="17" t="s">
        <v>50</v>
      </c>
      <c r="I278" s="17" t="s">
        <v>51</v>
      </c>
      <c r="J278" s="23" t="s">
        <v>594</v>
      </c>
      <c r="K278" s="17" t="s">
        <v>593</v>
      </c>
      <c r="L278" s="17" t="s">
        <v>182</v>
      </c>
      <c r="M278" s="18">
        <v>42800</v>
      </c>
    </row>
    <row r="279" spans="1:13" s="4" customFormat="1" ht="99" customHeight="1" x14ac:dyDescent="0.25">
      <c r="A279" s="17" t="s">
        <v>929</v>
      </c>
      <c r="B279" s="17" t="s">
        <v>19</v>
      </c>
      <c r="C279" s="17" t="s">
        <v>927</v>
      </c>
      <c r="D279" s="13" t="s">
        <v>934</v>
      </c>
      <c r="E279" s="22">
        <v>45086</v>
      </c>
      <c r="F279" s="23">
        <v>279</v>
      </c>
      <c r="G279" s="31">
        <v>110150</v>
      </c>
      <c r="H279" s="17" t="s">
        <v>50</v>
      </c>
      <c r="I279" s="17" t="s">
        <v>51</v>
      </c>
      <c r="J279" s="23" t="s">
        <v>62</v>
      </c>
      <c r="K279" s="17" t="s">
        <v>63</v>
      </c>
      <c r="L279" s="17" t="s">
        <v>928</v>
      </c>
      <c r="M279" s="18">
        <v>100</v>
      </c>
    </row>
    <row r="280" spans="1:13" ht="99" customHeight="1" x14ac:dyDescent="0.25">
      <c r="A280" s="17" t="s">
        <v>930</v>
      </c>
      <c r="B280" s="17" t="s">
        <v>332</v>
      </c>
      <c r="C280" s="17" t="s">
        <v>490</v>
      </c>
      <c r="D280" s="13" t="s">
        <v>845</v>
      </c>
      <c r="E280" s="22">
        <v>45086</v>
      </c>
      <c r="F280" s="23">
        <v>280</v>
      </c>
      <c r="G280" s="31">
        <v>118230</v>
      </c>
      <c r="H280" s="17" t="s">
        <v>50</v>
      </c>
      <c r="I280" s="17" t="s">
        <v>51</v>
      </c>
      <c r="J280" s="23" t="s">
        <v>334</v>
      </c>
      <c r="K280" s="17" t="s">
        <v>333</v>
      </c>
      <c r="L280" s="17" t="s">
        <v>513</v>
      </c>
      <c r="M280" s="18">
        <v>2380000</v>
      </c>
    </row>
    <row r="281" spans="1:13" ht="75" x14ac:dyDescent="0.25">
      <c r="A281" s="17" t="s">
        <v>933</v>
      </c>
      <c r="B281" s="17" t="s">
        <v>28</v>
      </c>
      <c r="C281" s="17" t="s">
        <v>932</v>
      </c>
      <c r="D281" s="13" t="s">
        <v>223</v>
      </c>
      <c r="E281" s="22">
        <v>45086</v>
      </c>
      <c r="F281" s="23">
        <v>281</v>
      </c>
      <c r="G281" s="31">
        <v>118230</v>
      </c>
      <c r="H281" s="17" t="s">
        <v>50</v>
      </c>
      <c r="I281" s="17" t="s">
        <v>51</v>
      </c>
      <c r="J281" s="23" t="s">
        <v>931</v>
      </c>
      <c r="K281" s="17" t="s">
        <v>264</v>
      </c>
      <c r="L281" s="17" t="s">
        <v>182</v>
      </c>
      <c r="M281" s="18">
        <v>91677.77</v>
      </c>
    </row>
    <row r="282" spans="1:13" ht="154.5" customHeight="1" x14ac:dyDescent="0.25">
      <c r="A282" s="17" t="s">
        <v>940</v>
      </c>
      <c r="B282" s="17" t="s">
        <v>31</v>
      </c>
      <c r="C282" s="17" t="s">
        <v>939</v>
      </c>
      <c r="D282" s="13" t="s">
        <v>225</v>
      </c>
      <c r="E282" s="22">
        <v>45086</v>
      </c>
      <c r="F282" s="23">
        <v>282</v>
      </c>
      <c r="G282" s="31">
        <v>118230</v>
      </c>
      <c r="H282" s="17" t="s">
        <v>50</v>
      </c>
      <c r="I282" s="17" t="s">
        <v>51</v>
      </c>
      <c r="J282" s="23">
        <v>251171456</v>
      </c>
      <c r="K282" s="17" t="s">
        <v>352</v>
      </c>
      <c r="L282" s="17" t="s">
        <v>939</v>
      </c>
      <c r="M282" s="18">
        <v>16988.16</v>
      </c>
    </row>
    <row r="283" spans="1:13" ht="60" x14ac:dyDescent="0.25">
      <c r="A283" s="17" t="s">
        <v>943</v>
      </c>
      <c r="B283" s="17" t="s">
        <v>426</v>
      </c>
      <c r="C283" s="17" t="s">
        <v>942</v>
      </c>
      <c r="D283" s="13" t="s">
        <v>223</v>
      </c>
      <c r="E283" s="22">
        <v>45090</v>
      </c>
      <c r="F283" s="23">
        <v>283</v>
      </c>
      <c r="G283" s="31">
        <v>117693</v>
      </c>
      <c r="H283" s="17" t="s">
        <v>50</v>
      </c>
      <c r="I283" s="17" t="s">
        <v>51</v>
      </c>
      <c r="J283" s="23">
        <v>2324303456</v>
      </c>
      <c r="K283" s="17" t="s">
        <v>427</v>
      </c>
      <c r="L283" s="17" t="s">
        <v>941</v>
      </c>
      <c r="M283" s="18">
        <v>3150</v>
      </c>
    </row>
    <row r="284" spans="1:13" ht="120" x14ac:dyDescent="0.25">
      <c r="A284" s="17" t="s">
        <v>947</v>
      </c>
      <c r="B284" s="17" t="s">
        <v>946</v>
      </c>
      <c r="C284" s="17" t="s">
        <v>944</v>
      </c>
      <c r="D284" s="13" t="s">
        <v>295</v>
      </c>
      <c r="E284" s="22">
        <v>45090</v>
      </c>
      <c r="F284" s="23">
        <v>284</v>
      </c>
      <c r="G284" s="31">
        <v>110150</v>
      </c>
      <c r="H284" s="17">
        <v>4054334</v>
      </c>
      <c r="I284" s="17" t="s">
        <v>51</v>
      </c>
      <c r="J284" s="23">
        <v>2300601460</v>
      </c>
      <c r="K284" s="17" t="s">
        <v>752</v>
      </c>
      <c r="L284" s="17" t="s">
        <v>945</v>
      </c>
      <c r="M284" s="18">
        <v>66759.960000000006</v>
      </c>
    </row>
    <row r="285" spans="1:13" ht="60" x14ac:dyDescent="0.25">
      <c r="A285" s="17" t="s">
        <v>950</v>
      </c>
      <c r="B285" s="17" t="s">
        <v>20</v>
      </c>
      <c r="C285" s="17" t="s">
        <v>948</v>
      </c>
      <c r="D285" s="13" t="s">
        <v>295</v>
      </c>
      <c r="E285" s="22">
        <v>45090</v>
      </c>
      <c r="F285" s="23">
        <v>285</v>
      </c>
      <c r="G285" s="31">
        <v>110150</v>
      </c>
      <c r="H285" s="17">
        <v>4054334</v>
      </c>
      <c r="I285" s="17" t="s">
        <v>51</v>
      </c>
      <c r="J285" s="23">
        <v>2440503412</v>
      </c>
      <c r="K285" s="17" t="s">
        <v>68</v>
      </c>
      <c r="L285" s="17" t="s">
        <v>949</v>
      </c>
      <c r="M285" s="18">
        <v>400</v>
      </c>
    </row>
    <row r="286" spans="1:13" ht="105" x14ac:dyDescent="0.25">
      <c r="A286" s="17" t="s">
        <v>955</v>
      </c>
      <c r="B286" s="17" t="s">
        <v>954</v>
      </c>
      <c r="C286" s="17" t="s">
        <v>952</v>
      </c>
      <c r="D286" s="13" t="s">
        <v>225</v>
      </c>
      <c r="E286" s="22">
        <v>45090</v>
      </c>
      <c r="F286" s="23">
        <v>286</v>
      </c>
      <c r="G286" s="31">
        <v>110180</v>
      </c>
      <c r="H286" s="12">
        <v>4054334</v>
      </c>
      <c r="I286" s="12" t="s">
        <v>51</v>
      </c>
      <c r="J286" s="6">
        <v>13641427</v>
      </c>
      <c r="K286" s="12" t="s">
        <v>953</v>
      </c>
      <c r="L286" s="12" t="s">
        <v>951</v>
      </c>
      <c r="M286" s="13">
        <v>30000</v>
      </c>
    </row>
    <row r="287" spans="1:13" ht="65.25" customHeight="1" x14ac:dyDescent="0.25">
      <c r="A287" s="17" t="s">
        <v>956</v>
      </c>
      <c r="B287" s="17" t="s">
        <v>957</v>
      </c>
      <c r="C287" s="17" t="s">
        <v>958</v>
      </c>
      <c r="D287" s="13" t="s">
        <v>225</v>
      </c>
      <c r="E287" s="22" t="s">
        <v>959</v>
      </c>
      <c r="F287" s="23">
        <v>287</v>
      </c>
      <c r="G287" s="31">
        <v>117700</v>
      </c>
      <c r="H287" s="17">
        <v>4054334</v>
      </c>
      <c r="I287" s="17" t="s">
        <v>51</v>
      </c>
      <c r="J287" s="23">
        <v>31145200</v>
      </c>
      <c r="K287" s="17" t="s">
        <v>960</v>
      </c>
      <c r="L287" s="17" t="s">
        <v>961</v>
      </c>
      <c r="M287" s="18">
        <v>64000</v>
      </c>
    </row>
    <row r="288" spans="1:13" ht="150" x14ac:dyDescent="0.25">
      <c r="A288" s="17" t="s">
        <v>962</v>
      </c>
      <c r="B288" s="17" t="s">
        <v>678</v>
      </c>
      <c r="C288" s="17" t="s">
        <v>966</v>
      </c>
      <c r="D288" s="13" t="s">
        <v>295</v>
      </c>
      <c r="E288" s="22">
        <v>45090</v>
      </c>
      <c r="F288" s="23">
        <v>288</v>
      </c>
      <c r="G288" s="31">
        <v>117700</v>
      </c>
      <c r="H288" s="17">
        <v>4054334</v>
      </c>
      <c r="I288" s="17" t="s">
        <v>51</v>
      </c>
      <c r="J288" s="23" t="s">
        <v>965</v>
      </c>
      <c r="K288" s="17" t="s">
        <v>964</v>
      </c>
      <c r="L288" s="17" t="s">
        <v>963</v>
      </c>
      <c r="M288" s="18">
        <v>9000</v>
      </c>
    </row>
    <row r="289" spans="1:13" ht="81.75" customHeight="1" x14ac:dyDescent="0.25">
      <c r="A289" s="17" t="s">
        <v>971</v>
      </c>
      <c r="B289" s="17" t="s">
        <v>437</v>
      </c>
      <c r="C289" s="17" t="s">
        <v>970</v>
      </c>
      <c r="D289" s="13" t="s">
        <v>295</v>
      </c>
      <c r="E289" s="22">
        <v>45090</v>
      </c>
      <c r="F289" s="23">
        <v>289</v>
      </c>
      <c r="G289" s="31">
        <v>117700</v>
      </c>
      <c r="H289" s="17">
        <v>4054334</v>
      </c>
      <c r="I289" s="17" t="s">
        <v>51</v>
      </c>
      <c r="J289" s="23" t="s">
        <v>969</v>
      </c>
      <c r="K289" s="17" t="s">
        <v>968</v>
      </c>
      <c r="L289" s="17" t="s">
        <v>967</v>
      </c>
      <c r="M289" s="18">
        <v>9894</v>
      </c>
    </row>
    <row r="290" spans="1:13" ht="165" x14ac:dyDescent="0.25">
      <c r="A290" s="17" t="str">
        <f>HYPERLINK("https://my.zakupki.prom.ua/remote/dispatcher/state_purchase_view/41733137", "UA-2023-03-30-008844-a")</f>
        <v>UA-2023-03-30-008844-a</v>
      </c>
      <c r="B290" s="17" t="s">
        <v>378</v>
      </c>
      <c r="C290" s="17" t="s">
        <v>381</v>
      </c>
      <c r="D290" s="13" t="s">
        <v>225</v>
      </c>
      <c r="E290" s="22">
        <v>45092</v>
      </c>
      <c r="F290" s="23">
        <v>290</v>
      </c>
      <c r="G290" s="33">
        <v>118230</v>
      </c>
      <c r="H290" s="17" t="s">
        <v>50</v>
      </c>
      <c r="I290" s="17" t="s">
        <v>51</v>
      </c>
      <c r="J290" s="23">
        <v>39983274</v>
      </c>
      <c r="K290" s="17" t="s">
        <v>382</v>
      </c>
      <c r="L290" s="17" t="s">
        <v>383</v>
      </c>
      <c r="M290" s="18">
        <v>3560178.69</v>
      </c>
    </row>
    <row r="291" spans="1:13" ht="193.5" customHeight="1" x14ac:dyDescent="0.25">
      <c r="A291" s="17" t="str">
        <f>HYPERLINK("https://my.zakupki.prom.ua/remote/dispatcher/state_purchase_view/41749893", "UA-2023-03-31-007441-a")</f>
        <v>UA-2023-03-31-007441-a</v>
      </c>
      <c r="B291" s="17" t="s">
        <v>31</v>
      </c>
      <c r="C291" s="17" t="s">
        <v>398</v>
      </c>
      <c r="D291" s="13" t="s">
        <v>225</v>
      </c>
      <c r="E291" s="22">
        <v>45092</v>
      </c>
      <c r="F291" s="23">
        <v>291</v>
      </c>
      <c r="G291" s="25">
        <v>118230</v>
      </c>
      <c r="H291" s="17" t="s">
        <v>50</v>
      </c>
      <c r="I291" s="17" t="s">
        <v>51</v>
      </c>
      <c r="J291" s="23">
        <v>2461019017</v>
      </c>
      <c r="K291" s="17" t="s">
        <v>70</v>
      </c>
      <c r="L291" s="17" t="s">
        <v>399</v>
      </c>
      <c r="M291" s="18">
        <v>49411.71</v>
      </c>
    </row>
    <row r="292" spans="1:13" ht="120" x14ac:dyDescent="0.25">
      <c r="A292" s="17" t="str">
        <f>HYPERLINK("https://my.zakupki.prom.ua/remote/dispatcher/state_purchase_view/42283558", "UA-2023-05-01-008032-a")</f>
        <v>UA-2023-05-01-008032-a</v>
      </c>
      <c r="B292" s="17" t="s">
        <v>45</v>
      </c>
      <c r="C292" s="17" t="s">
        <v>485</v>
      </c>
      <c r="D292" s="13" t="s">
        <v>225</v>
      </c>
      <c r="E292" s="22">
        <v>45092</v>
      </c>
      <c r="F292" s="23">
        <v>292</v>
      </c>
      <c r="G292" s="40">
        <v>118230</v>
      </c>
      <c r="H292" s="17" t="s">
        <v>50</v>
      </c>
      <c r="I292" s="17" t="s">
        <v>51</v>
      </c>
      <c r="J292" s="23">
        <v>2765203477</v>
      </c>
      <c r="K292" s="17" t="s">
        <v>261</v>
      </c>
      <c r="L292" s="17" t="s">
        <v>521</v>
      </c>
      <c r="M292" s="18">
        <v>453533</v>
      </c>
    </row>
    <row r="293" spans="1:13" ht="195" x14ac:dyDescent="0.25">
      <c r="A293" s="17" t="str">
        <f>HYPERLINK("https://my.zakupki.prom.ua/remote/dispatcher/state_purchase_view/42285406", "UA-2023-05-01-008941-a")</f>
        <v>UA-2023-05-01-008941-a</v>
      </c>
      <c r="B293" s="17" t="s">
        <v>31</v>
      </c>
      <c r="C293" s="17" t="s">
        <v>486</v>
      </c>
      <c r="D293" s="13" t="s">
        <v>225</v>
      </c>
      <c r="E293" s="22">
        <v>45092</v>
      </c>
      <c r="F293" s="23">
        <v>293</v>
      </c>
      <c r="G293" s="40">
        <v>118230</v>
      </c>
      <c r="H293" s="17" t="s">
        <v>50</v>
      </c>
      <c r="I293" s="17" t="s">
        <v>51</v>
      </c>
      <c r="J293" s="23">
        <v>2461019017</v>
      </c>
      <c r="K293" s="17" t="s">
        <v>70</v>
      </c>
      <c r="L293" s="17" t="s">
        <v>523</v>
      </c>
      <c r="M293" s="18">
        <v>6234.94</v>
      </c>
    </row>
    <row r="294" spans="1:13" ht="64.5" customHeight="1" x14ac:dyDescent="0.25">
      <c r="A294" s="17" t="str">
        <f>HYPERLINK("https://my.zakupki.prom.ua/remote/dispatcher/state_purchase_view/43453611", "UA-2023-06-21-009739-a")</f>
        <v>UA-2023-06-21-009739-a</v>
      </c>
      <c r="B294" s="17" t="s">
        <v>21</v>
      </c>
      <c r="C294" s="17" t="s">
        <v>29</v>
      </c>
      <c r="D294" s="13" t="s">
        <v>934</v>
      </c>
      <c r="E294" s="22">
        <v>45093</v>
      </c>
      <c r="F294" s="23">
        <v>294</v>
      </c>
      <c r="G294" s="40">
        <v>110150</v>
      </c>
      <c r="H294" s="17" t="s">
        <v>50</v>
      </c>
      <c r="I294" s="17" t="s">
        <v>51</v>
      </c>
      <c r="J294" s="23">
        <v>42129720</v>
      </c>
      <c r="K294" s="17" t="s">
        <v>175</v>
      </c>
      <c r="L294" s="17" t="s">
        <v>972</v>
      </c>
      <c r="M294" s="18">
        <v>152.29</v>
      </c>
    </row>
    <row r="295" spans="1:13" ht="105" x14ac:dyDescent="0.25">
      <c r="A295" s="17" t="str">
        <f>HYPERLINK("https://my.zakupki.prom.ua/remote/dispatcher/state_purchase_view/41733070", "UA-2023-03-30-008803-a")</f>
        <v>UA-2023-03-30-008803-a</v>
      </c>
      <c r="B295" s="17" t="s">
        <v>45</v>
      </c>
      <c r="C295" s="17" t="s">
        <v>374</v>
      </c>
      <c r="D295" s="13" t="s">
        <v>225</v>
      </c>
      <c r="E295" s="22">
        <v>45093</v>
      </c>
      <c r="F295" s="23">
        <v>295</v>
      </c>
      <c r="G295" s="33">
        <v>118230</v>
      </c>
      <c r="H295" s="17" t="s">
        <v>50</v>
      </c>
      <c r="I295" s="17" t="s">
        <v>51</v>
      </c>
      <c r="J295" s="23">
        <v>3138505777</v>
      </c>
      <c r="K295" s="17" t="s">
        <v>375</v>
      </c>
      <c r="L295" s="17" t="s">
        <v>376</v>
      </c>
      <c r="M295" s="36"/>
    </row>
    <row r="296" spans="1:13" ht="165" x14ac:dyDescent="0.25">
      <c r="A296" s="17" t="str">
        <f>HYPERLINK("https://my.zakupki.prom.ua/remote/dispatcher/state_purchase_view/41733122", "UA-2023-03-30-008839-a")</f>
        <v>UA-2023-03-30-008839-a</v>
      </c>
      <c r="B296" s="17" t="s">
        <v>31</v>
      </c>
      <c r="C296" s="17" t="s">
        <v>390</v>
      </c>
      <c r="D296" s="13" t="s">
        <v>225</v>
      </c>
      <c r="E296" s="22">
        <v>45093</v>
      </c>
      <c r="F296" s="23">
        <v>296</v>
      </c>
      <c r="G296" s="33">
        <v>118230</v>
      </c>
      <c r="H296" s="17" t="s">
        <v>50</v>
      </c>
      <c r="I296" s="17" t="s">
        <v>51</v>
      </c>
      <c r="J296" s="23">
        <v>2461019017</v>
      </c>
      <c r="K296" s="17" t="s">
        <v>70</v>
      </c>
      <c r="L296" s="17" t="s">
        <v>391</v>
      </c>
      <c r="M296" s="36"/>
    </row>
    <row r="297" spans="1:13" ht="135" x14ac:dyDescent="0.25">
      <c r="A297" s="17" t="str">
        <f>HYPERLINK("https://my.zakupki.prom.ua/remote/dispatcher/state_purchase_view/43498928", "UA-2023-06-22-015084-a")</f>
        <v>UA-2023-06-22-015084-a</v>
      </c>
      <c r="B297" s="17" t="s">
        <v>31</v>
      </c>
      <c r="C297" s="17" t="s">
        <v>974</v>
      </c>
      <c r="D297" s="13" t="s">
        <v>225</v>
      </c>
      <c r="E297" s="22">
        <v>45093</v>
      </c>
      <c r="F297" s="23">
        <v>297</v>
      </c>
      <c r="G297" s="33">
        <v>118230</v>
      </c>
      <c r="H297" s="17" t="s">
        <v>50</v>
      </c>
      <c r="I297" s="17" t="s">
        <v>51</v>
      </c>
      <c r="J297" s="23">
        <v>44649444</v>
      </c>
      <c r="K297" s="17" t="s">
        <v>355</v>
      </c>
      <c r="L297" s="17" t="s">
        <v>973</v>
      </c>
      <c r="M297" s="18">
        <v>15410</v>
      </c>
    </row>
    <row r="298" spans="1:13" ht="135" x14ac:dyDescent="0.25">
      <c r="A298" s="17" t="str">
        <f>HYPERLINK("https://my.zakupki.prom.ua/remote/dispatcher/state_purchase_view/43498423", "UA-2023-06-22-014836-a")</f>
        <v>UA-2023-06-22-014836-a</v>
      </c>
      <c r="B298" s="17" t="s">
        <v>31</v>
      </c>
      <c r="C298" s="17" t="s">
        <v>975</v>
      </c>
      <c r="D298" s="13" t="s">
        <v>225</v>
      </c>
      <c r="E298" s="22">
        <v>45093</v>
      </c>
      <c r="F298" s="23">
        <v>298</v>
      </c>
      <c r="G298" s="33">
        <v>118230</v>
      </c>
      <c r="H298" s="17" t="s">
        <v>50</v>
      </c>
      <c r="I298" s="17" t="s">
        <v>51</v>
      </c>
      <c r="J298" s="23">
        <v>44649444</v>
      </c>
      <c r="K298" s="17" t="s">
        <v>355</v>
      </c>
      <c r="L298" s="17" t="s">
        <v>973</v>
      </c>
      <c r="M298" s="18">
        <v>6879</v>
      </c>
    </row>
    <row r="299" spans="1:13" ht="135" x14ac:dyDescent="0.25">
      <c r="A299" s="17" t="str">
        <f>HYPERLINK("https://my.zakupki.prom.ua/remote/dispatcher/state_purchase_view/43498168", "UA-2023-06-22-014670-a")</f>
        <v>UA-2023-06-22-014670-a</v>
      </c>
      <c r="B299" s="17" t="s">
        <v>31</v>
      </c>
      <c r="C299" s="17" t="s">
        <v>977</v>
      </c>
      <c r="D299" s="13" t="s">
        <v>225</v>
      </c>
      <c r="E299" s="22">
        <v>45093</v>
      </c>
      <c r="F299" s="23">
        <v>299</v>
      </c>
      <c r="G299" s="33">
        <v>118230</v>
      </c>
      <c r="H299" s="17" t="s">
        <v>50</v>
      </c>
      <c r="I299" s="17" t="s">
        <v>51</v>
      </c>
      <c r="J299" s="23">
        <v>44649444</v>
      </c>
      <c r="K299" s="17" t="s">
        <v>355</v>
      </c>
      <c r="L299" s="17" t="s">
        <v>976</v>
      </c>
      <c r="M299" s="18">
        <v>6879</v>
      </c>
    </row>
    <row r="300" spans="1:13" ht="60" x14ac:dyDescent="0.25">
      <c r="A300" s="17" t="str">
        <f>HYPERLINK("https://my.zakupki.prom.ua/remote/dispatcher/state_purchase_view/43497323", "UA-2023-06-22-014253-a")</f>
        <v>UA-2023-06-22-014253-a</v>
      </c>
      <c r="B300" s="17" t="s">
        <v>980</v>
      </c>
      <c r="C300" s="17" t="s">
        <v>979</v>
      </c>
      <c r="D300" s="13" t="s">
        <v>295</v>
      </c>
      <c r="E300" s="22">
        <v>45097</v>
      </c>
      <c r="F300" s="23">
        <v>300</v>
      </c>
      <c r="G300" s="33">
        <v>118240</v>
      </c>
      <c r="H300" s="17" t="s">
        <v>50</v>
      </c>
      <c r="I300" s="17" t="s">
        <v>51</v>
      </c>
      <c r="J300" s="23">
        <v>32490244</v>
      </c>
      <c r="K300" s="17" t="s">
        <v>268</v>
      </c>
      <c r="L300" s="17" t="s">
        <v>978</v>
      </c>
      <c r="M300" s="18">
        <v>25341.119999999999</v>
      </c>
    </row>
    <row r="301" spans="1:13" ht="150" x14ac:dyDescent="0.25">
      <c r="A301" s="17" t="str">
        <f>HYPERLINK("https://my.zakupki.prom.ua/remote/dispatcher/state_purchase_lot_view/936813", "UA-2023-05-04-012732-a-L1")</f>
        <v>UA-2023-05-04-012732-a-L1</v>
      </c>
      <c r="B301" s="17" t="s">
        <v>982</v>
      </c>
      <c r="C301" s="17" t="s">
        <v>984</v>
      </c>
      <c r="D301" s="13" t="s">
        <v>295</v>
      </c>
      <c r="E301" s="22">
        <v>45097</v>
      </c>
      <c r="F301" s="23">
        <v>301</v>
      </c>
      <c r="G301" s="33">
        <v>110150</v>
      </c>
      <c r="H301" s="17" t="s">
        <v>50</v>
      </c>
      <c r="I301" s="17" t="s">
        <v>51</v>
      </c>
      <c r="J301" s="23">
        <v>40175293</v>
      </c>
      <c r="K301" s="17" t="s">
        <v>981</v>
      </c>
      <c r="L301" s="17" t="s">
        <v>983</v>
      </c>
      <c r="M301" s="18">
        <v>257194.2</v>
      </c>
    </row>
    <row r="302" spans="1:13" ht="60" x14ac:dyDescent="0.25">
      <c r="A302" s="54" t="str">
        <f>HYPERLINK("https://my.zakupki.prom.ua/remote/dispatcher/state_purchase_view/43471077", "UA-2023-06-22-000836-a")</f>
        <v>UA-2023-06-22-000836-a</v>
      </c>
      <c r="B302" s="17" t="s">
        <v>987</v>
      </c>
      <c r="C302" s="17" t="s">
        <v>988</v>
      </c>
      <c r="D302" s="13" t="s">
        <v>295</v>
      </c>
      <c r="E302" s="22">
        <v>45097</v>
      </c>
      <c r="F302" s="23">
        <v>302</v>
      </c>
      <c r="G302" s="33">
        <v>117700</v>
      </c>
      <c r="H302" s="17" t="s">
        <v>50</v>
      </c>
      <c r="I302" s="17" t="s">
        <v>51</v>
      </c>
      <c r="J302" s="23">
        <v>3580105333</v>
      </c>
      <c r="K302" s="17" t="s">
        <v>986</v>
      </c>
      <c r="L302" s="17" t="s">
        <v>985</v>
      </c>
      <c r="M302" s="18">
        <v>1797</v>
      </c>
    </row>
    <row r="303" spans="1:13" ht="60" x14ac:dyDescent="0.25">
      <c r="A303" s="54" t="str">
        <f>HYPERLINK("https://my.zakupki.prom.ua/remote/dispatcher/state_purchase_view/43471883", "UA-2023-06-22-001275-a")</f>
        <v>UA-2023-06-22-001275-a</v>
      </c>
      <c r="B303" s="17" t="s">
        <v>452</v>
      </c>
      <c r="C303" s="17" t="s">
        <v>990</v>
      </c>
      <c r="D303" s="13" t="s">
        <v>295</v>
      </c>
      <c r="E303" s="22">
        <v>45097</v>
      </c>
      <c r="F303" s="23">
        <v>303</v>
      </c>
      <c r="G303" s="33">
        <v>117700</v>
      </c>
      <c r="H303" s="17" t="s">
        <v>50</v>
      </c>
      <c r="I303" s="17" t="s">
        <v>51</v>
      </c>
      <c r="J303" s="23">
        <v>3580105333</v>
      </c>
      <c r="K303" s="17" t="s">
        <v>986</v>
      </c>
      <c r="L303" s="17" t="s">
        <v>989</v>
      </c>
      <c r="M303" s="18">
        <v>9927</v>
      </c>
    </row>
    <row r="304" spans="1:13" ht="60" x14ac:dyDescent="0.25">
      <c r="A304" s="54" t="str">
        <f>HYPERLINK("https://my.zakupki.prom.ua/remote/dispatcher/state_purchase_view/43472312", "UA-2023-06-22-001544-a")</f>
        <v>UA-2023-06-22-001544-a</v>
      </c>
      <c r="B304" s="17" t="s">
        <v>993</v>
      </c>
      <c r="C304" s="17" t="s">
        <v>992</v>
      </c>
      <c r="D304" s="13" t="s">
        <v>295</v>
      </c>
      <c r="E304" s="22">
        <v>45097</v>
      </c>
      <c r="F304" s="23">
        <v>304</v>
      </c>
      <c r="G304" s="33">
        <v>117700</v>
      </c>
      <c r="H304" s="17" t="s">
        <v>50</v>
      </c>
      <c r="I304" s="17" t="s">
        <v>51</v>
      </c>
      <c r="J304" s="23">
        <v>3580105333</v>
      </c>
      <c r="K304" s="17" t="s">
        <v>986</v>
      </c>
      <c r="L304" s="17" t="s">
        <v>991</v>
      </c>
      <c r="M304" s="18">
        <v>47550</v>
      </c>
    </row>
    <row r="305" spans="1:13" ht="105" x14ac:dyDescent="0.25">
      <c r="A305" s="54" t="str">
        <f>HYPERLINK("https://my.zakupki.prom.ua/remote/dispatcher/state_purchase_view/43537305", "UA-2023-06-26-000851-a")</f>
        <v>UA-2023-06-26-000851-a</v>
      </c>
      <c r="B305" s="17" t="s">
        <v>45</v>
      </c>
      <c r="C305" s="17" t="s">
        <v>1021</v>
      </c>
      <c r="D305" s="13" t="s">
        <v>225</v>
      </c>
      <c r="E305" s="22">
        <v>45097</v>
      </c>
      <c r="F305" s="23">
        <v>305</v>
      </c>
      <c r="G305" s="33">
        <v>110150</v>
      </c>
      <c r="H305" s="17" t="s">
        <v>50</v>
      </c>
      <c r="I305" s="17" t="s">
        <v>51</v>
      </c>
      <c r="J305" s="23" t="s">
        <v>1022</v>
      </c>
      <c r="K305" s="17" t="s">
        <v>261</v>
      </c>
      <c r="L305" s="17" t="s">
        <v>1020</v>
      </c>
      <c r="M305" s="18">
        <v>175468</v>
      </c>
    </row>
    <row r="306" spans="1:13" s="4" customFormat="1" ht="60" x14ac:dyDescent="0.25">
      <c r="A306" s="54" t="str">
        <f>HYPERLINK("https://my.zakupki.prom.ua/remote/dispatcher/state_purchase_view/43538362", "UA-2023-06-26-001270-a")</f>
        <v>UA-2023-06-26-001270-a</v>
      </c>
      <c r="B306" s="17" t="s">
        <v>368</v>
      </c>
      <c r="C306" s="17" t="s">
        <v>1019</v>
      </c>
      <c r="D306" s="13" t="s">
        <v>295</v>
      </c>
      <c r="E306" s="22">
        <v>45097</v>
      </c>
      <c r="F306" s="23">
        <v>306</v>
      </c>
      <c r="G306" s="33">
        <v>118240</v>
      </c>
      <c r="H306" s="17" t="s">
        <v>50</v>
      </c>
      <c r="I306" s="17" t="s">
        <v>51</v>
      </c>
      <c r="J306" s="23" t="s">
        <v>748</v>
      </c>
      <c r="K306" s="17" t="s">
        <v>747</v>
      </c>
      <c r="L306" s="17" t="s">
        <v>1017</v>
      </c>
      <c r="M306" s="18">
        <v>291200</v>
      </c>
    </row>
    <row r="307" spans="1:13" s="4" customFormat="1" ht="60" x14ac:dyDescent="0.25">
      <c r="A307" s="54" t="str">
        <f>HYPERLINK("https://my.zakupki.prom.ua/remote/dispatcher/state_purchase_view/43565657", "UA-2023-06-27-000098-a")</f>
        <v>UA-2023-06-27-000098-a</v>
      </c>
      <c r="B307" s="17" t="s">
        <v>368</v>
      </c>
      <c r="C307" s="17" t="s">
        <v>1018</v>
      </c>
      <c r="D307" s="13" t="s">
        <v>295</v>
      </c>
      <c r="E307" s="22">
        <v>45097</v>
      </c>
      <c r="F307" s="23">
        <v>307</v>
      </c>
      <c r="G307" s="33">
        <v>118240</v>
      </c>
      <c r="H307" s="17" t="s">
        <v>50</v>
      </c>
      <c r="I307" s="17" t="s">
        <v>51</v>
      </c>
      <c r="J307" s="23" t="s">
        <v>748</v>
      </c>
      <c r="K307" s="17" t="s">
        <v>747</v>
      </c>
      <c r="L307" s="17" t="s">
        <v>1017</v>
      </c>
      <c r="M307" s="18">
        <v>72800</v>
      </c>
    </row>
    <row r="308" spans="1:13" s="4" customFormat="1" ht="150" x14ac:dyDescent="0.25">
      <c r="A308" s="54" t="str">
        <f>HYPERLINK("https://my.zakupki.prom.ua/remote/dispatcher/state_purchase_view/43630461", "UA-2023-06-29-003557-a")</f>
        <v>UA-2023-06-29-003557-a</v>
      </c>
      <c r="B308" s="17" t="s">
        <v>378</v>
      </c>
      <c r="C308" s="17" t="s">
        <v>1015</v>
      </c>
      <c r="D308" s="13" t="s">
        <v>225</v>
      </c>
      <c r="E308" s="22">
        <v>45098</v>
      </c>
      <c r="F308" s="23">
        <v>308</v>
      </c>
      <c r="G308" s="33">
        <v>118230</v>
      </c>
      <c r="H308" s="17" t="s">
        <v>50</v>
      </c>
      <c r="I308" s="17" t="s">
        <v>51</v>
      </c>
      <c r="J308" s="23" t="s">
        <v>1016</v>
      </c>
      <c r="K308" s="17" t="s">
        <v>382</v>
      </c>
      <c r="L308" s="17" t="s">
        <v>1014</v>
      </c>
      <c r="M308" s="18">
        <v>7034802.04</v>
      </c>
    </row>
    <row r="309" spans="1:13" s="4" customFormat="1" ht="165" x14ac:dyDescent="0.25">
      <c r="A309" s="54" t="str">
        <f>HYPERLINK("https://my.zakupki.prom.ua/remote/dispatcher/state_purchase_view/43630739", "UA-2023-06-29-003666-a")</f>
        <v>UA-2023-06-29-003666-a</v>
      </c>
      <c r="B309" s="17" t="s">
        <v>31</v>
      </c>
      <c r="C309" s="17" t="s">
        <v>1013</v>
      </c>
      <c r="D309" s="13" t="s">
        <v>225</v>
      </c>
      <c r="E309" s="22">
        <v>45098</v>
      </c>
      <c r="F309" s="23">
        <v>309</v>
      </c>
      <c r="G309" s="33">
        <v>118230</v>
      </c>
      <c r="H309" s="17" t="s">
        <v>50</v>
      </c>
      <c r="I309" s="17" t="s">
        <v>51</v>
      </c>
      <c r="J309" s="23" t="s">
        <v>69</v>
      </c>
      <c r="K309" s="17" t="s">
        <v>70</v>
      </c>
      <c r="L309" s="17" t="s">
        <v>1012</v>
      </c>
      <c r="M309" s="18">
        <v>101926.73</v>
      </c>
    </row>
    <row r="310" spans="1:13" s="4" customFormat="1" ht="75.75" customHeight="1" x14ac:dyDescent="0.25">
      <c r="A310" s="54" t="str">
        <f>HYPERLINK("https://my.zakupki.prom.ua/remote/dispatcher/state_purchase_view/43691588", "UA-2023-07-03-010010-a")</f>
        <v>UA-2023-07-03-010010-a</v>
      </c>
      <c r="B310" s="17" t="s">
        <v>45</v>
      </c>
      <c r="C310" s="17" t="s">
        <v>1009</v>
      </c>
      <c r="D310" s="13" t="s">
        <v>225</v>
      </c>
      <c r="E310" s="22">
        <v>45100</v>
      </c>
      <c r="F310" s="23">
        <v>310</v>
      </c>
      <c r="G310" s="33">
        <v>118230</v>
      </c>
      <c r="H310" s="17" t="s">
        <v>50</v>
      </c>
      <c r="I310" s="17" t="s">
        <v>51</v>
      </c>
      <c r="J310" s="23" t="s">
        <v>1011</v>
      </c>
      <c r="K310" s="17" t="s">
        <v>1010</v>
      </c>
      <c r="L310" s="17" t="s">
        <v>1008</v>
      </c>
      <c r="M310" s="18">
        <v>1321204.3999999999</v>
      </c>
    </row>
    <row r="311" spans="1:13" s="4" customFormat="1" ht="135" x14ac:dyDescent="0.25">
      <c r="A311" s="61" t="str">
        <f>HYPERLINK("https://my.zakupki.prom.ua/remote/dispatcher/state_purchase_view/43692036", "UA-2023-07-03-010221-a")</f>
        <v>UA-2023-07-03-010221-a</v>
      </c>
      <c r="B311" s="17" t="s">
        <v>31</v>
      </c>
      <c r="C311" s="17" t="s">
        <v>1007</v>
      </c>
      <c r="D311" s="13" t="s">
        <v>225</v>
      </c>
      <c r="E311" s="22">
        <v>45100</v>
      </c>
      <c r="F311" s="23">
        <v>311</v>
      </c>
      <c r="G311" s="33">
        <v>118230</v>
      </c>
      <c r="H311" s="17" t="s">
        <v>50</v>
      </c>
      <c r="I311" s="17" t="s">
        <v>51</v>
      </c>
      <c r="J311" s="23" t="s">
        <v>69</v>
      </c>
      <c r="K311" s="17" t="s">
        <v>70</v>
      </c>
      <c r="L311" s="17" t="s">
        <v>1006</v>
      </c>
      <c r="M311" s="18">
        <v>15669.86</v>
      </c>
    </row>
    <row r="312" spans="1:13" s="4" customFormat="1" ht="165" customHeight="1" x14ac:dyDescent="0.25">
      <c r="A312" s="54" t="str">
        <f>HYPERLINK("https://my.zakupki.prom.ua/remote/dispatcher/state_purchase_view/43692242", "UA-2023-07-03-010314-a")</f>
        <v>UA-2023-07-03-010314-a</v>
      </c>
      <c r="B312" s="17" t="s">
        <v>237</v>
      </c>
      <c r="C312" s="17" t="s">
        <v>1005</v>
      </c>
      <c r="D312" s="13" t="s">
        <v>225</v>
      </c>
      <c r="E312" s="22">
        <v>45103</v>
      </c>
      <c r="F312" s="23">
        <v>312</v>
      </c>
      <c r="G312" s="33">
        <v>118230</v>
      </c>
      <c r="H312" s="17" t="s">
        <v>50</v>
      </c>
      <c r="I312" s="17" t="s">
        <v>51</v>
      </c>
      <c r="J312" s="23" t="s">
        <v>337</v>
      </c>
      <c r="K312" s="17" t="s">
        <v>267</v>
      </c>
      <c r="L312" s="17" t="s">
        <v>1004</v>
      </c>
      <c r="M312" s="18">
        <v>75216</v>
      </c>
    </row>
    <row r="313" spans="1:13" ht="105" x14ac:dyDescent="0.25">
      <c r="A313" s="54" t="str">
        <f>HYPERLINK("https://my.zakupki.prom.ua/remote/dispatcher/state_purchase_view/43692305", "UA-2023-07-03-010356-a")</f>
        <v>UA-2023-07-03-010356-a</v>
      </c>
      <c r="B313" s="17" t="s">
        <v>691</v>
      </c>
      <c r="C313" s="17" t="s">
        <v>1023</v>
      </c>
      <c r="D313" s="13" t="s">
        <v>225</v>
      </c>
      <c r="E313" s="22">
        <v>45103</v>
      </c>
      <c r="F313" s="23">
        <v>313</v>
      </c>
      <c r="G313" s="33">
        <v>118230</v>
      </c>
      <c r="H313" s="17" t="s">
        <v>50</v>
      </c>
      <c r="I313" s="17" t="s">
        <v>51</v>
      </c>
      <c r="J313" s="23" t="s">
        <v>693</v>
      </c>
      <c r="K313" s="17" t="s">
        <v>692</v>
      </c>
      <c r="L313" s="17" t="s">
        <v>1003</v>
      </c>
      <c r="M313" s="18">
        <v>1527216</v>
      </c>
    </row>
    <row r="314" spans="1:13" s="4" customFormat="1" ht="150.75" customHeight="1" x14ac:dyDescent="0.25">
      <c r="A314" s="54" t="str">
        <f>HYPERLINK("https://my.zakupki.prom.ua/remote/dispatcher/state_purchase_view/43722659", "UA-2023-07-04-012511-a")</f>
        <v>UA-2023-07-04-012511-a</v>
      </c>
      <c r="B314" s="17" t="s">
        <v>31</v>
      </c>
      <c r="C314" s="17" t="s">
        <v>1000</v>
      </c>
      <c r="D314" s="13" t="s">
        <v>225</v>
      </c>
      <c r="E314" s="22">
        <v>45104</v>
      </c>
      <c r="F314" s="23">
        <v>314</v>
      </c>
      <c r="G314" s="33">
        <v>118230</v>
      </c>
      <c r="H314" s="17" t="s">
        <v>50</v>
      </c>
      <c r="I314" s="17" t="s">
        <v>51</v>
      </c>
      <c r="J314" s="23" t="s">
        <v>701</v>
      </c>
      <c r="K314" s="17" t="s">
        <v>736</v>
      </c>
      <c r="L314" s="17" t="s">
        <v>999</v>
      </c>
      <c r="M314" s="18">
        <v>22223.68</v>
      </c>
    </row>
    <row r="315" spans="1:13" s="4" customFormat="1" ht="112.5" customHeight="1" x14ac:dyDescent="0.25">
      <c r="A315" s="54" t="str">
        <f>HYPERLINK("https://my.zakupki.prom.ua/remote/dispatcher/state_purchase_view/43721938", "UA-2023-07-04-012155-a")</f>
        <v>UA-2023-07-04-012155-a</v>
      </c>
      <c r="B315" s="17" t="s">
        <v>691</v>
      </c>
      <c r="C315" s="17" t="s">
        <v>1002</v>
      </c>
      <c r="D315" s="13" t="s">
        <v>225</v>
      </c>
      <c r="E315" s="22">
        <v>45104</v>
      </c>
      <c r="F315" s="23">
        <v>315</v>
      </c>
      <c r="G315" s="33">
        <v>118230</v>
      </c>
      <c r="H315" s="17" t="s">
        <v>50</v>
      </c>
      <c r="I315" s="17" t="s">
        <v>51</v>
      </c>
      <c r="J315" s="23" t="s">
        <v>693</v>
      </c>
      <c r="K315" s="17" t="s">
        <v>692</v>
      </c>
      <c r="L315" s="17" t="s">
        <v>1001</v>
      </c>
      <c r="M315" s="18">
        <v>690378</v>
      </c>
    </row>
    <row r="316" spans="1:13" s="4" customFormat="1" ht="150" x14ac:dyDescent="0.25">
      <c r="A316" s="54" t="str">
        <f>HYPERLINK("https://my.zakupki.prom.ua/remote/dispatcher/state_purchase_view/43725402", "UA-2023-07-05-001210-a")</f>
        <v>UA-2023-07-05-001210-a</v>
      </c>
      <c r="B316" s="17" t="s">
        <v>31</v>
      </c>
      <c r="C316" s="17" t="s">
        <v>995</v>
      </c>
      <c r="D316" s="13" t="s">
        <v>225</v>
      </c>
      <c r="E316" s="22">
        <v>45104</v>
      </c>
      <c r="F316" s="23">
        <v>316</v>
      </c>
      <c r="G316" s="33">
        <v>118230</v>
      </c>
      <c r="H316" s="17" t="s">
        <v>50</v>
      </c>
      <c r="I316" s="17" t="s">
        <v>51</v>
      </c>
      <c r="J316" s="23" t="s">
        <v>701</v>
      </c>
      <c r="K316" s="17" t="s">
        <v>996</v>
      </c>
      <c r="L316" s="17" t="s">
        <v>994</v>
      </c>
      <c r="M316" s="18">
        <v>10042.39</v>
      </c>
    </row>
    <row r="317" spans="1:13" s="4" customFormat="1" ht="135" x14ac:dyDescent="0.25">
      <c r="A317" s="39" t="s">
        <v>817</v>
      </c>
      <c r="B317" s="17" t="s">
        <v>31</v>
      </c>
      <c r="C317" s="17" t="s">
        <v>699</v>
      </c>
      <c r="D317" s="13" t="s">
        <v>225</v>
      </c>
      <c r="E317" s="22">
        <v>45107</v>
      </c>
      <c r="F317" s="23">
        <v>317</v>
      </c>
      <c r="G317" s="40">
        <v>118230</v>
      </c>
      <c r="H317" s="17" t="s">
        <v>50</v>
      </c>
      <c r="I317" s="17" t="s">
        <v>51</v>
      </c>
      <c r="J317" s="23" t="s">
        <v>701</v>
      </c>
      <c r="K317" s="17" t="s">
        <v>1353</v>
      </c>
      <c r="L317" s="17" t="s">
        <v>698</v>
      </c>
      <c r="M317" s="13">
        <v>2090.56</v>
      </c>
    </row>
    <row r="318" spans="1:13" s="4" customFormat="1" ht="135" x14ac:dyDescent="0.25">
      <c r="A318" s="39" t="s">
        <v>818</v>
      </c>
      <c r="B318" s="17" t="s">
        <v>31</v>
      </c>
      <c r="C318" s="17" t="s">
        <v>704</v>
      </c>
      <c r="D318" s="13" t="s">
        <v>225</v>
      </c>
      <c r="E318" s="22">
        <v>45107</v>
      </c>
      <c r="F318" s="23">
        <v>318</v>
      </c>
      <c r="G318" s="40">
        <v>118230</v>
      </c>
      <c r="H318" s="17" t="s">
        <v>50</v>
      </c>
      <c r="I318" s="17" t="s">
        <v>51</v>
      </c>
      <c r="J318" s="23" t="s">
        <v>701</v>
      </c>
      <c r="K318" s="17" t="s">
        <v>700</v>
      </c>
      <c r="L318" s="17" t="s">
        <v>703</v>
      </c>
      <c r="M318" s="13">
        <v>2340.5100000000002</v>
      </c>
    </row>
    <row r="319" spans="1:13" s="4" customFormat="1" ht="90" x14ac:dyDescent="0.25">
      <c r="A319" s="39" t="s">
        <v>816</v>
      </c>
      <c r="B319" s="17" t="s">
        <v>691</v>
      </c>
      <c r="C319" s="17" t="s">
        <v>696</v>
      </c>
      <c r="D319" s="13" t="s">
        <v>225</v>
      </c>
      <c r="E319" s="22">
        <v>45107</v>
      </c>
      <c r="F319" s="23">
        <v>319</v>
      </c>
      <c r="G319" s="40">
        <v>118230</v>
      </c>
      <c r="H319" s="17" t="s">
        <v>50</v>
      </c>
      <c r="I319" s="17" t="s">
        <v>51</v>
      </c>
      <c r="J319" s="23" t="s">
        <v>693</v>
      </c>
      <c r="K319" s="17" t="s">
        <v>692</v>
      </c>
      <c r="L319" s="17" t="s">
        <v>695</v>
      </c>
      <c r="M319" s="13">
        <v>151112.63</v>
      </c>
    </row>
    <row r="320" spans="1:13" s="4" customFormat="1" ht="90" x14ac:dyDescent="0.25">
      <c r="A320" s="39" t="s">
        <v>815</v>
      </c>
      <c r="B320" s="17" t="s">
        <v>691</v>
      </c>
      <c r="C320" s="17" t="s">
        <v>690</v>
      </c>
      <c r="D320" s="13" t="s">
        <v>225</v>
      </c>
      <c r="E320" s="22">
        <v>45107</v>
      </c>
      <c r="F320" s="23">
        <v>320</v>
      </c>
      <c r="G320" s="40">
        <v>118230</v>
      </c>
      <c r="H320" s="17" t="s">
        <v>50</v>
      </c>
      <c r="I320" s="17" t="s">
        <v>51</v>
      </c>
      <c r="J320" s="23" t="s">
        <v>693</v>
      </c>
      <c r="K320" s="17" t="s">
        <v>692</v>
      </c>
      <c r="L320" s="17" t="s">
        <v>689</v>
      </c>
      <c r="M320" s="13">
        <v>169249.47</v>
      </c>
    </row>
    <row r="321" spans="1:13" s="4" customFormat="1" ht="255" x14ac:dyDescent="0.25">
      <c r="A321" s="54" t="str">
        <f>HYPERLINK("https://my.zakupki.prom.ua/remote/dispatcher/state_purchase_view/43725047", "UA-2023-07-05-000908-a")</f>
        <v>UA-2023-07-05-000908-a</v>
      </c>
      <c r="B321" s="17" t="s">
        <v>237</v>
      </c>
      <c r="C321" s="17" t="s">
        <v>998</v>
      </c>
      <c r="D321" s="13" t="s">
        <v>225</v>
      </c>
      <c r="E321" s="22">
        <v>45107</v>
      </c>
      <c r="F321" s="23">
        <v>321</v>
      </c>
      <c r="G321" s="40">
        <v>118230</v>
      </c>
      <c r="H321" s="17" t="s">
        <v>50</v>
      </c>
      <c r="I321" s="17" t="s">
        <v>51</v>
      </c>
      <c r="J321" s="23" t="s">
        <v>337</v>
      </c>
      <c r="K321" s="17" t="s">
        <v>267</v>
      </c>
      <c r="L321" s="17" t="s">
        <v>997</v>
      </c>
      <c r="M321" s="13">
        <v>189840</v>
      </c>
    </row>
    <row r="322" spans="1:13" s="4" customFormat="1" ht="90" x14ac:dyDescent="0.25">
      <c r="A322" s="12" t="str">
        <f>HYPERLINK("https://my.zakupki.prom.ua/remote/dispatcher/state_purchase_view/43770616", "UA-2023-07-06-008558-a")</f>
        <v>UA-2023-07-06-008558-a</v>
      </c>
      <c r="B322" s="12" t="s">
        <v>52</v>
      </c>
      <c r="C322" s="12" t="s">
        <v>1032</v>
      </c>
      <c r="D322" s="13" t="s">
        <v>295</v>
      </c>
      <c r="E322" s="14">
        <v>45111</v>
      </c>
      <c r="F322" s="6">
        <v>322</v>
      </c>
      <c r="G322" s="33">
        <v>110180</v>
      </c>
      <c r="H322" s="17" t="s">
        <v>50</v>
      </c>
      <c r="I322" s="12" t="s">
        <v>51</v>
      </c>
      <c r="J322" s="6">
        <v>20540164</v>
      </c>
      <c r="K322" s="12" t="s">
        <v>1059</v>
      </c>
      <c r="L322" s="12" t="s">
        <v>1072</v>
      </c>
      <c r="M322" s="13">
        <v>15000</v>
      </c>
    </row>
    <row r="323" spans="1:13" ht="60" x14ac:dyDescent="0.25">
      <c r="A323" s="12" t="str">
        <f>HYPERLINK("https://my.zakupki.prom.ua/remote/dispatcher/state_purchase_view/43770978", "UA-2023-07-06-008679-a")</f>
        <v>UA-2023-07-06-008679-a</v>
      </c>
      <c r="B323" s="12" t="s">
        <v>678</v>
      </c>
      <c r="C323" s="12" t="s">
        <v>1033</v>
      </c>
      <c r="D323" s="13" t="s">
        <v>295</v>
      </c>
      <c r="E323" s="14">
        <v>45111</v>
      </c>
      <c r="F323" s="6">
        <v>323</v>
      </c>
      <c r="G323" s="58">
        <v>118230</v>
      </c>
      <c r="H323" s="17" t="s">
        <v>50</v>
      </c>
      <c r="I323" s="12" t="s">
        <v>51</v>
      </c>
      <c r="J323" s="6">
        <v>2884311793</v>
      </c>
      <c r="K323" s="12" t="s">
        <v>1060</v>
      </c>
      <c r="L323" s="12" t="s">
        <v>1073</v>
      </c>
      <c r="M323" s="13">
        <v>15568</v>
      </c>
    </row>
    <row r="324" spans="1:13" ht="75" x14ac:dyDescent="0.25">
      <c r="A324" s="12" t="str">
        <f>HYPERLINK("https://my.zakupki.prom.ua/remote/dispatcher/state_purchase_view/43835025", "UA-2023-07-10-011868-a")</f>
        <v>UA-2023-07-10-011868-a</v>
      </c>
      <c r="B324" s="12" t="s">
        <v>574</v>
      </c>
      <c r="C324" s="12" t="s">
        <v>1034</v>
      </c>
      <c r="D324" s="13" t="s">
        <v>295</v>
      </c>
      <c r="E324" s="14">
        <v>45111</v>
      </c>
      <c r="F324" s="6">
        <v>324</v>
      </c>
      <c r="G324" s="58">
        <v>118230</v>
      </c>
      <c r="H324" s="17" t="s">
        <v>50</v>
      </c>
      <c r="I324" s="12" t="s">
        <v>51</v>
      </c>
      <c r="J324" s="6">
        <v>3041724091</v>
      </c>
      <c r="K324" s="12" t="s">
        <v>1360</v>
      </c>
      <c r="L324" s="12" t="s">
        <v>1074</v>
      </c>
      <c r="M324" s="13">
        <v>5735</v>
      </c>
    </row>
    <row r="325" spans="1:13" ht="75" x14ac:dyDescent="0.25">
      <c r="A325" s="12" t="str">
        <f>HYPERLINK("https://my.zakupki.prom.ua/remote/dispatcher/state_purchase_view/43835039", "UA-2023-07-10-011876-a")</f>
        <v>UA-2023-07-10-011876-a</v>
      </c>
      <c r="B325" s="12" t="s">
        <v>982</v>
      </c>
      <c r="C325" s="12" t="s">
        <v>1035</v>
      </c>
      <c r="D325" s="13" t="s">
        <v>845</v>
      </c>
      <c r="E325" s="14">
        <v>45111</v>
      </c>
      <c r="F325" s="6">
        <v>325</v>
      </c>
      <c r="G325" s="58">
        <v>118230</v>
      </c>
      <c r="H325" s="17" t="s">
        <v>50</v>
      </c>
      <c r="I325" s="12" t="s">
        <v>51</v>
      </c>
      <c r="J325" s="6">
        <v>3041724091</v>
      </c>
      <c r="K325" s="12" t="s">
        <v>1061</v>
      </c>
      <c r="L325" s="12" t="s">
        <v>1075</v>
      </c>
      <c r="M325" s="13">
        <v>125495</v>
      </c>
    </row>
    <row r="326" spans="1:13" ht="60" x14ac:dyDescent="0.25">
      <c r="A326" s="12" t="str">
        <f>HYPERLINK("https://my.zakupki.prom.ua/remote/dispatcher/state_purchase_view/43834982", "UA-2023-07-10-011850-a")</f>
        <v>UA-2023-07-10-011850-a</v>
      </c>
      <c r="B326" s="12" t="s">
        <v>1024</v>
      </c>
      <c r="C326" s="12" t="s">
        <v>1036</v>
      </c>
      <c r="D326" s="13" t="s">
        <v>225</v>
      </c>
      <c r="E326" s="14">
        <v>45111</v>
      </c>
      <c r="F326" s="6">
        <v>326</v>
      </c>
      <c r="G326" s="58">
        <v>118230</v>
      </c>
      <c r="H326" s="17" t="s">
        <v>50</v>
      </c>
      <c r="I326" s="12" t="s">
        <v>51</v>
      </c>
      <c r="J326" s="6">
        <v>3041724091</v>
      </c>
      <c r="K326" s="12" t="s">
        <v>1061</v>
      </c>
      <c r="L326" s="12" t="s">
        <v>1076</v>
      </c>
      <c r="M326" s="13">
        <v>34950</v>
      </c>
    </row>
    <row r="327" spans="1:13" ht="120" x14ac:dyDescent="0.25">
      <c r="A327" s="12" t="str">
        <f>HYPERLINK("https://my.zakupki.prom.ua/remote/dispatcher/state_purchase_view/43896912", "UA-2023-07-13-002903-a")</f>
        <v>UA-2023-07-13-002903-a</v>
      </c>
      <c r="B327" s="12" t="s">
        <v>237</v>
      </c>
      <c r="C327" s="12" t="s">
        <v>1037</v>
      </c>
      <c r="D327" s="13" t="s">
        <v>225</v>
      </c>
      <c r="E327" s="14">
        <v>45112</v>
      </c>
      <c r="F327" s="6">
        <v>327</v>
      </c>
      <c r="G327" s="58">
        <v>118230</v>
      </c>
      <c r="H327" s="17" t="s">
        <v>50</v>
      </c>
      <c r="I327" s="12" t="s">
        <v>51</v>
      </c>
      <c r="J327" s="6">
        <v>31430142</v>
      </c>
      <c r="K327" s="12" t="s">
        <v>1062</v>
      </c>
      <c r="L327" s="12" t="s">
        <v>1004</v>
      </c>
      <c r="M327" s="13">
        <v>648000</v>
      </c>
    </row>
    <row r="328" spans="1:13" ht="105" x14ac:dyDescent="0.25">
      <c r="A328" s="12" t="str">
        <f>HYPERLINK("https://my.zakupki.prom.ua/remote/dispatcher/state_purchase_view/43869803", "UA-2023-07-12-002313-a")</f>
        <v>UA-2023-07-12-002313-a</v>
      </c>
      <c r="B328" s="12" t="s">
        <v>1025</v>
      </c>
      <c r="C328" s="12" t="s">
        <v>1038</v>
      </c>
      <c r="D328" s="13" t="s">
        <v>225</v>
      </c>
      <c r="E328" s="14">
        <v>45114</v>
      </c>
      <c r="F328" s="6">
        <v>328</v>
      </c>
      <c r="G328" s="58">
        <v>117700</v>
      </c>
      <c r="H328" s="17" t="s">
        <v>50</v>
      </c>
      <c r="I328" s="12" t="s">
        <v>51</v>
      </c>
      <c r="J328" s="6">
        <v>3084303273</v>
      </c>
      <c r="K328" s="12" t="s">
        <v>1063</v>
      </c>
      <c r="L328" s="12" t="s">
        <v>1077</v>
      </c>
      <c r="M328" s="13">
        <v>45617</v>
      </c>
    </row>
    <row r="329" spans="1:13" ht="90" x14ac:dyDescent="0.25">
      <c r="A329" s="12" t="str">
        <f>HYPERLINK("https://my.zakupki.prom.ua/remote/dispatcher/state_purchase_view/43870516", "UA-2023-07-12-002665-a")</f>
        <v>UA-2023-07-12-002665-a</v>
      </c>
      <c r="B329" s="12" t="s">
        <v>30</v>
      </c>
      <c r="C329" s="12" t="s">
        <v>339</v>
      </c>
      <c r="D329" s="13" t="s">
        <v>225</v>
      </c>
      <c r="E329" s="14">
        <v>45117</v>
      </c>
      <c r="F329" s="6">
        <v>329</v>
      </c>
      <c r="G329" s="58">
        <v>110180</v>
      </c>
      <c r="H329" s="17" t="s">
        <v>50</v>
      </c>
      <c r="I329" s="12" t="s">
        <v>51</v>
      </c>
      <c r="J329" s="6">
        <v>3487007980</v>
      </c>
      <c r="K329" s="12" t="s">
        <v>1064</v>
      </c>
      <c r="L329" s="12" t="s">
        <v>1078</v>
      </c>
      <c r="M329" s="13">
        <v>21223</v>
      </c>
    </row>
    <row r="330" spans="1:13" ht="90" x14ac:dyDescent="0.25">
      <c r="A330" s="12" t="str">
        <f>HYPERLINK("https://my.zakupki.prom.ua/remote/dispatcher/state_purchase_view/43869133", "UA-2023-07-12-001990-a")</f>
        <v>UA-2023-07-12-001990-a</v>
      </c>
      <c r="B330" s="12" t="s">
        <v>30</v>
      </c>
      <c r="C330" s="12" t="s">
        <v>1039</v>
      </c>
      <c r="D330" s="13" t="s">
        <v>225</v>
      </c>
      <c r="E330" s="14">
        <v>45117</v>
      </c>
      <c r="F330" s="6">
        <v>330</v>
      </c>
      <c r="G330" s="58">
        <v>110180</v>
      </c>
      <c r="H330" s="17" t="s">
        <v>50</v>
      </c>
      <c r="I330" s="12" t="s">
        <v>51</v>
      </c>
      <c r="J330" s="6">
        <v>3227406316</v>
      </c>
      <c r="K330" s="12" t="s">
        <v>1065</v>
      </c>
      <c r="L330" s="12" t="s">
        <v>1078</v>
      </c>
      <c r="M330" s="13">
        <v>55500</v>
      </c>
    </row>
    <row r="331" spans="1:13" ht="150" x14ac:dyDescent="0.25">
      <c r="A331" s="12" t="str">
        <f>HYPERLINK("https://my.zakupki.prom.ua/remote/dispatcher/state_purchase_view/43897159", "UA-2023-07-13-003093-a")</f>
        <v>UA-2023-07-13-003093-a</v>
      </c>
      <c r="B331" s="12" t="s">
        <v>1026</v>
      </c>
      <c r="C331" s="12" t="s">
        <v>1040</v>
      </c>
      <c r="D331" s="13" t="s">
        <v>225</v>
      </c>
      <c r="E331" s="14">
        <v>45117</v>
      </c>
      <c r="F331" s="6">
        <v>331</v>
      </c>
      <c r="G331" s="58">
        <v>117693</v>
      </c>
      <c r="H331" s="17" t="s">
        <v>50</v>
      </c>
      <c r="I331" s="12" t="s">
        <v>51</v>
      </c>
      <c r="J331" s="6">
        <v>3096107246</v>
      </c>
      <c r="K331" s="12" t="s">
        <v>1066</v>
      </c>
      <c r="L331" s="12" t="s">
        <v>1079</v>
      </c>
      <c r="M331" s="13">
        <v>43700</v>
      </c>
    </row>
    <row r="332" spans="1:13" ht="75" x14ac:dyDescent="0.25">
      <c r="A332" s="12" t="str">
        <f>HYPERLINK("https://my.zakupki.prom.ua/remote/dispatcher/state_purchase_view/43897561", "UA-2023-07-13-003213-a")</f>
        <v>UA-2023-07-13-003213-a</v>
      </c>
      <c r="B332" s="12" t="s">
        <v>1027</v>
      </c>
      <c r="C332" s="12" t="s">
        <v>1041</v>
      </c>
      <c r="D332" s="13" t="s">
        <v>845</v>
      </c>
      <c r="E332" s="14">
        <v>45117</v>
      </c>
      <c r="F332" s="6">
        <v>332</v>
      </c>
      <c r="G332" s="58">
        <v>117700</v>
      </c>
      <c r="H332" s="17" t="s">
        <v>50</v>
      </c>
      <c r="I332" s="12" t="s">
        <v>51</v>
      </c>
      <c r="J332" s="6">
        <v>2512702213</v>
      </c>
      <c r="K332" s="12" t="s">
        <v>1067</v>
      </c>
      <c r="L332" s="12" t="s">
        <v>1080</v>
      </c>
      <c r="M332" s="13">
        <v>99891</v>
      </c>
    </row>
    <row r="333" spans="1:13" ht="60" x14ac:dyDescent="0.25">
      <c r="A333" s="12" t="str">
        <f>HYPERLINK("https://my.zakupki.prom.ua/remote/dispatcher/state_purchase_view/43897803", "UA-2023-07-13-003312-a")</f>
        <v>UA-2023-07-13-003312-a</v>
      </c>
      <c r="B333" s="12" t="s">
        <v>1028</v>
      </c>
      <c r="C333" s="12" t="s">
        <v>1042</v>
      </c>
      <c r="D333" s="13" t="s">
        <v>295</v>
      </c>
      <c r="E333" s="14">
        <v>45117</v>
      </c>
      <c r="F333" s="6">
        <v>333</v>
      </c>
      <c r="G333" s="58">
        <v>117700</v>
      </c>
      <c r="H333" s="17" t="s">
        <v>50</v>
      </c>
      <c r="I333" s="12" t="s">
        <v>51</v>
      </c>
      <c r="J333" s="6">
        <v>2512702213</v>
      </c>
      <c r="K333" s="12" t="s">
        <v>1067</v>
      </c>
      <c r="L333" s="12" t="s">
        <v>1081</v>
      </c>
      <c r="M333" s="13">
        <v>495</v>
      </c>
    </row>
    <row r="334" spans="1:13" s="4" customFormat="1" ht="160.5" customHeight="1" x14ac:dyDescent="0.25">
      <c r="A334" s="12" t="s">
        <v>1099</v>
      </c>
      <c r="B334" s="12"/>
      <c r="C334" s="12"/>
      <c r="D334" s="17" t="s">
        <v>1107</v>
      </c>
      <c r="E334" s="14">
        <v>45117</v>
      </c>
      <c r="F334" s="6">
        <v>334</v>
      </c>
      <c r="G334" s="58">
        <v>110150</v>
      </c>
      <c r="H334" s="17" t="s">
        <v>50</v>
      </c>
      <c r="I334" s="12" t="s">
        <v>51</v>
      </c>
      <c r="J334" s="6">
        <v>33093799</v>
      </c>
      <c r="K334" s="12" t="s">
        <v>291</v>
      </c>
      <c r="L334" s="12"/>
      <c r="M334" s="13"/>
    </row>
    <row r="335" spans="1:13" s="4" customFormat="1" ht="115.5" customHeight="1" x14ac:dyDescent="0.25">
      <c r="A335" s="12" t="s">
        <v>556</v>
      </c>
      <c r="B335" s="12"/>
      <c r="C335" s="12"/>
      <c r="D335" s="17" t="s">
        <v>221</v>
      </c>
      <c r="E335" s="14">
        <v>45119</v>
      </c>
      <c r="F335" s="6">
        <v>335</v>
      </c>
      <c r="G335" s="58">
        <v>110150</v>
      </c>
      <c r="H335" s="17" t="s">
        <v>50</v>
      </c>
      <c r="I335" s="12" t="s">
        <v>51</v>
      </c>
      <c r="J335" s="6">
        <v>42566969</v>
      </c>
      <c r="K335" s="12" t="s">
        <v>1100</v>
      </c>
      <c r="L335" s="12"/>
      <c r="M335" s="13"/>
    </row>
    <row r="336" spans="1:13" s="4" customFormat="1" ht="84" customHeight="1" x14ac:dyDescent="0.25">
      <c r="A336" s="12" t="s">
        <v>1101</v>
      </c>
      <c r="B336" s="12"/>
      <c r="C336" s="12"/>
      <c r="D336" s="17" t="s">
        <v>221</v>
      </c>
      <c r="E336" s="14">
        <v>45119</v>
      </c>
      <c r="F336" s="6">
        <v>336</v>
      </c>
      <c r="G336" s="58"/>
      <c r="H336" s="17" t="s">
        <v>50</v>
      </c>
      <c r="I336" s="12" t="s">
        <v>51</v>
      </c>
      <c r="J336" s="6">
        <v>42129720</v>
      </c>
      <c r="K336" s="12" t="s">
        <v>175</v>
      </c>
      <c r="L336" s="12"/>
      <c r="M336" s="13"/>
    </row>
    <row r="337" spans="1:13" ht="124.5" customHeight="1" x14ac:dyDescent="0.25">
      <c r="A337" s="12" t="str">
        <f>HYPERLINK("https://my.zakupki.prom.ua/remote/dispatcher/state_purchase_view/43971834", "UA-2023-07-18-000867-a")</f>
        <v>UA-2023-07-18-000867-a</v>
      </c>
      <c r="B337" s="12" t="s">
        <v>1029</v>
      </c>
      <c r="C337" s="12" t="s">
        <v>1043</v>
      </c>
      <c r="D337" s="13" t="s">
        <v>225</v>
      </c>
      <c r="E337" s="14">
        <v>45119</v>
      </c>
      <c r="F337" s="6">
        <v>337</v>
      </c>
      <c r="G337" s="58">
        <v>110150</v>
      </c>
      <c r="H337" s="17" t="s">
        <v>50</v>
      </c>
      <c r="I337" s="12" t="s">
        <v>51</v>
      </c>
      <c r="J337" s="6">
        <v>32805994</v>
      </c>
      <c r="K337" s="12" t="s">
        <v>534</v>
      </c>
      <c r="L337" s="12" t="s">
        <v>1082</v>
      </c>
      <c r="M337" s="13">
        <v>71997</v>
      </c>
    </row>
    <row r="338" spans="1:13" s="4" customFormat="1" ht="69.75" customHeight="1" x14ac:dyDescent="0.25">
      <c r="A338" s="12" t="s">
        <v>1102</v>
      </c>
      <c r="B338" s="12"/>
      <c r="C338" s="12"/>
      <c r="D338" s="17" t="s">
        <v>1108</v>
      </c>
      <c r="E338" s="14">
        <v>45119</v>
      </c>
      <c r="F338" s="6">
        <v>338</v>
      </c>
      <c r="G338" s="58">
        <v>110150</v>
      </c>
      <c r="H338" s="17" t="s">
        <v>50</v>
      </c>
      <c r="I338" s="12" t="s">
        <v>51</v>
      </c>
      <c r="J338" s="6">
        <v>3361046</v>
      </c>
      <c r="K338" s="12" t="s">
        <v>1103</v>
      </c>
      <c r="L338" s="12"/>
      <c r="M338" s="13"/>
    </row>
    <row r="339" spans="1:13" ht="60" x14ac:dyDescent="0.25">
      <c r="A339" s="12" t="str">
        <f>HYPERLINK("https://my.zakupki.prom.ua/remote/dispatcher/state_purchase_view/43999206", "UA-2023-07-19-000637-a")</f>
        <v>UA-2023-07-19-000637-a</v>
      </c>
      <c r="B339" s="12" t="s">
        <v>1030</v>
      </c>
      <c r="C339" s="12" t="s">
        <v>1044</v>
      </c>
      <c r="D339" s="13" t="s">
        <v>295</v>
      </c>
      <c r="E339" s="14">
        <v>45120</v>
      </c>
      <c r="F339" s="6">
        <v>339</v>
      </c>
      <c r="G339" s="58">
        <v>110150</v>
      </c>
      <c r="H339" s="17" t="s">
        <v>50</v>
      </c>
      <c r="I339" s="12" t="s">
        <v>51</v>
      </c>
      <c r="J339" s="6">
        <v>3314316112</v>
      </c>
      <c r="K339" s="12" t="s">
        <v>906</v>
      </c>
      <c r="L339" s="12" t="s">
        <v>1083</v>
      </c>
      <c r="M339" s="13">
        <v>5499</v>
      </c>
    </row>
    <row r="340" spans="1:13" ht="150" x14ac:dyDescent="0.25">
      <c r="A340" s="12" t="str">
        <f>HYPERLINK("https://my.zakupki.prom.ua/remote/dispatcher/state_purchase_view/44104184", "UA-2023-07-24-010278-a")</f>
        <v>UA-2023-07-24-010278-a</v>
      </c>
      <c r="B340" s="12" t="s">
        <v>31</v>
      </c>
      <c r="C340" s="12" t="s">
        <v>1045</v>
      </c>
      <c r="D340" s="13" t="s">
        <v>225</v>
      </c>
      <c r="E340" s="14">
        <v>45121</v>
      </c>
      <c r="F340" s="6">
        <v>340</v>
      </c>
      <c r="G340" s="58">
        <v>118230</v>
      </c>
      <c r="H340" s="17" t="s">
        <v>50</v>
      </c>
      <c r="I340" s="12" t="s">
        <v>51</v>
      </c>
      <c r="J340" s="6">
        <v>2511711456</v>
      </c>
      <c r="K340" s="12" t="s">
        <v>352</v>
      </c>
      <c r="L340" s="12" t="s">
        <v>1084</v>
      </c>
      <c r="M340" s="13">
        <v>7265</v>
      </c>
    </row>
    <row r="341" spans="1:13" ht="165" x14ac:dyDescent="0.25">
      <c r="A341" s="12" t="str">
        <f>HYPERLINK("https://my.zakupki.prom.ua/remote/dispatcher/state_purchase_view/44104782", "UA-2023-07-24-010543-a")</f>
        <v>UA-2023-07-24-010543-a</v>
      </c>
      <c r="B341" s="12" t="s">
        <v>31</v>
      </c>
      <c r="C341" s="12" t="s">
        <v>1046</v>
      </c>
      <c r="D341" s="13" t="s">
        <v>225</v>
      </c>
      <c r="E341" s="14">
        <v>45121</v>
      </c>
      <c r="F341" s="6">
        <v>341</v>
      </c>
      <c r="G341" s="58">
        <v>118230</v>
      </c>
      <c r="H341" s="17" t="s">
        <v>50</v>
      </c>
      <c r="I341" s="12" t="s">
        <v>51</v>
      </c>
      <c r="J341" s="6">
        <v>2511711456</v>
      </c>
      <c r="K341" s="12" t="s">
        <v>352</v>
      </c>
      <c r="L341" s="12" t="s">
        <v>1085</v>
      </c>
      <c r="M341" s="13">
        <v>10680</v>
      </c>
    </row>
    <row r="342" spans="1:13" ht="90" x14ac:dyDescent="0.25">
      <c r="A342" s="12" t="str">
        <f>HYPERLINK("https://my.zakupki.prom.ua/remote/dispatcher/state_purchase_view/44036743", "UA-2023-07-20-004639-a")</f>
        <v>UA-2023-07-20-004639-a</v>
      </c>
      <c r="B342" s="12" t="s">
        <v>332</v>
      </c>
      <c r="C342" s="12" t="s">
        <v>1047</v>
      </c>
      <c r="D342" s="13" t="s">
        <v>845</v>
      </c>
      <c r="E342" s="14">
        <v>45126</v>
      </c>
      <c r="F342" s="6">
        <v>342</v>
      </c>
      <c r="G342" s="58">
        <v>118230</v>
      </c>
      <c r="H342" s="17" t="s">
        <v>50</v>
      </c>
      <c r="I342" s="12" t="s">
        <v>51</v>
      </c>
      <c r="J342" s="6">
        <v>2967105091</v>
      </c>
      <c r="K342" s="12" t="s">
        <v>1068</v>
      </c>
      <c r="L342" s="12" t="s">
        <v>1086</v>
      </c>
      <c r="M342" s="13">
        <v>1740000</v>
      </c>
    </row>
    <row r="343" spans="1:13" ht="165" x14ac:dyDescent="0.25">
      <c r="A343" s="12" t="str">
        <f>HYPERLINK("https://my.zakupki.prom.ua/remote/dispatcher/state_purchase_view/44048919", "UA-2023-07-20-010289-a")</f>
        <v>UA-2023-07-20-010289-a</v>
      </c>
      <c r="B343" s="12" t="s">
        <v>440</v>
      </c>
      <c r="C343" s="12" t="s">
        <v>1048</v>
      </c>
      <c r="D343" s="13" t="s">
        <v>295</v>
      </c>
      <c r="E343" s="14">
        <v>45126</v>
      </c>
      <c r="F343" s="6">
        <v>343</v>
      </c>
      <c r="G343" s="58">
        <v>113112</v>
      </c>
      <c r="H343" s="17" t="s">
        <v>50</v>
      </c>
      <c r="I343" s="12" t="s">
        <v>51</v>
      </c>
      <c r="J343" s="6">
        <v>3220110598</v>
      </c>
      <c r="K343" s="12" t="s">
        <v>1359</v>
      </c>
      <c r="L343" s="12" t="s">
        <v>1087</v>
      </c>
      <c r="M343" s="13">
        <v>21630</v>
      </c>
    </row>
    <row r="344" spans="1:13" ht="180" x14ac:dyDescent="0.25">
      <c r="A344" s="12" t="str">
        <f>HYPERLINK("https://my.zakupki.prom.ua/remote/dispatcher/state_purchase_view/44049907", "UA-2023-07-20-010757-a")</f>
        <v>UA-2023-07-20-010757-a</v>
      </c>
      <c r="B344" s="12" t="s">
        <v>35</v>
      </c>
      <c r="C344" s="12" t="s">
        <v>1049</v>
      </c>
      <c r="D344" s="13" t="s">
        <v>295</v>
      </c>
      <c r="E344" s="14">
        <v>45126</v>
      </c>
      <c r="F344" s="6">
        <v>344</v>
      </c>
      <c r="G344" s="58">
        <v>113112</v>
      </c>
      <c r="H344" s="17" t="s">
        <v>50</v>
      </c>
      <c r="I344" s="12" t="s">
        <v>51</v>
      </c>
      <c r="J344" s="6">
        <v>3220110598</v>
      </c>
      <c r="K344" s="12" t="s">
        <v>1069</v>
      </c>
      <c r="L344" s="12" t="s">
        <v>1088</v>
      </c>
      <c r="M344" s="13">
        <v>26350</v>
      </c>
    </row>
    <row r="345" spans="1:13" s="4" customFormat="1" ht="117" customHeight="1" x14ac:dyDescent="0.25">
      <c r="A345" s="12" t="s">
        <v>1104</v>
      </c>
      <c r="B345" s="12"/>
      <c r="C345" s="12"/>
      <c r="D345" s="17" t="s">
        <v>221</v>
      </c>
      <c r="E345" s="14">
        <v>45127</v>
      </c>
      <c r="F345" s="6">
        <v>345</v>
      </c>
      <c r="G345" s="58">
        <v>110150</v>
      </c>
      <c r="H345" s="17" t="s">
        <v>50</v>
      </c>
      <c r="I345" s="12" t="s">
        <v>51</v>
      </c>
      <c r="J345" s="12">
        <v>42566969</v>
      </c>
      <c r="K345" s="59" t="s">
        <v>1100</v>
      </c>
      <c r="L345" s="12"/>
      <c r="M345" s="13"/>
    </row>
    <row r="346" spans="1:13" s="4" customFormat="1" ht="108.75" customHeight="1" x14ac:dyDescent="0.25">
      <c r="A346" s="12" t="s">
        <v>1106</v>
      </c>
      <c r="B346" s="12"/>
      <c r="C346" s="12"/>
      <c r="D346" s="17" t="s">
        <v>221</v>
      </c>
      <c r="E346" s="14">
        <v>45127</v>
      </c>
      <c r="F346" s="6">
        <v>346</v>
      </c>
      <c r="G346" s="58">
        <v>110150</v>
      </c>
      <c r="H346" s="17" t="s">
        <v>50</v>
      </c>
      <c r="I346" s="12" t="s">
        <v>51</v>
      </c>
      <c r="J346" s="12">
        <v>42566969</v>
      </c>
      <c r="K346" s="59" t="s">
        <v>1100</v>
      </c>
      <c r="L346" s="12"/>
      <c r="M346" s="13"/>
    </row>
    <row r="347" spans="1:13" s="4" customFormat="1" ht="108.75" customHeight="1" x14ac:dyDescent="0.25">
      <c r="A347" s="12" t="s">
        <v>1105</v>
      </c>
      <c r="B347" s="12"/>
      <c r="C347" s="12"/>
      <c r="D347" s="17" t="s">
        <v>221</v>
      </c>
      <c r="E347" s="14">
        <v>45127</v>
      </c>
      <c r="F347" s="6">
        <v>347</v>
      </c>
      <c r="G347" s="58">
        <v>110150</v>
      </c>
      <c r="H347" s="17" t="s">
        <v>50</v>
      </c>
      <c r="I347" s="12" t="s">
        <v>51</v>
      </c>
      <c r="J347" s="12">
        <v>42566969</v>
      </c>
      <c r="K347" s="59" t="s">
        <v>1100</v>
      </c>
      <c r="L347" s="12"/>
      <c r="M347" s="13"/>
    </row>
    <row r="348" spans="1:13" ht="150" x14ac:dyDescent="0.25">
      <c r="A348" s="12" t="str">
        <f>HYPERLINK("https://my.zakupki.prom.ua/remote/dispatcher/state_purchase_view/44135967", "UA-2023-07-25-012063-a")</f>
        <v>UA-2023-07-25-012063-a</v>
      </c>
      <c r="B348" s="12" t="s">
        <v>378</v>
      </c>
      <c r="C348" s="12" t="s">
        <v>1050</v>
      </c>
      <c r="D348" s="13" t="s">
        <v>225</v>
      </c>
      <c r="E348" s="14">
        <v>45127</v>
      </c>
      <c r="F348" s="6">
        <v>348</v>
      </c>
      <c r="G348" s="58">
        <v>118230</v>
      </c>
      <c r="H348" s="17" t="s">
        <v>50</v>
      </c>
      <c r="I348" s="12" t="s">
        <v>51</v>
      </c>
      <c r="J348" s="6">
        <v>39983274</v>
      </c>
      <c r="K348" s="12" t="s">
        <v>382</v>
      </c>
      <c r="L348" s="12" t="s">
        <v>1089</v>
      </c>
      <c r="M348" s="13">
        <v>2677528.5699999998</v>
      </c>
    </row>
    <row r="349" spans="1:13" ht="150" x14ac:dyDescent="0.25">
      <c r="A349" s="12" t="str">
        <f>HYPERLINK("https://my.zakupki.prom.ua/remote/dispatcher/state_purchase_view/44136009", "UA-2023-07-25-012088-a")</f>
        <v>UA-2023-07-25-012088-a</v>
      </c>
      <c r="B349" s="12" t="s">
        <v>378</v>
      </c>
      <c r="C349" s="12" t="s">
        <v>1051</v>
      </c>
      <c r="D349" s="13" t="s">
        <v>225</v>
      </c>
      <c r="E349" s="14">
        <v>45127</v>
      </c>
      <c r="F349" s="6">
        <v>349</v>
      </c>
      <c r="G349" s="58">
        <v>118230</v>
      </c>
      <c r="H349" s="17" t="s">
        <v>50</v>
      </c>
      <c r="I349" s="12" t="s">
        <v>51</v>
      </c>
      <c r="J349" s="6">
        <v>39983274</v>
      </c>
      <c r="K349" s="12" t="s">
        <v>382</v>
      </c>
      <c r="L349" s="12" t="s">
        <v>1090</v>
      </c>
      <c r="M349" s="13">
        <v>521942.86</v>
      </c>
    </row>
    <row r="350" spans="1:13" ht="60" x14ac:dyDescent="0.25">
      <c r="A350" s="12" t="str">
        <f>HYPERLINK("https://my.zakupki.prom.ua/remote/dispatcher/state_purchase_view/44135467", "UA-2023-07-25-011821-a")</f>
        <v>UA-2023-07-25-011821-a</v>
      </c>
      <c r="B350" s="12" t="s">
        <v>651</v>
      </c>
      <c r="C350" s="12" t="s">
        <v>1052</v>
      </c>
      <c r="D350" s="13" t="s">
        <v>295</v>
      </c>
      <c r="E350" s="14">
        <v>45127</v>
      </c>
      <c r="F350" s="6">
        <v>350</v>
      </c>
      <c r="G350" s="58">
        <v>110150</v>
      </c>
      <c r="H350" s="17" t="s">
        <v>50</v>
      </c>
      <c r="I350" s="12" t="s">
        <v>51</v>
      </c>
      <c r="J350" s="6">
        <v>2530103076</v>
      </c>
      <c r="K350" s="12" t="s">
        <v>1070</v>
      </c>
      <c r="L350" s="12" t="s">
        <v>1091</v>
      </c>
      <c r="M350" s="13">
        <v>15831</v>
      </c>
    </row>
    <row r="351" spans="1:13" ht="75" x14ac:dyDescent="0.25">
      <c r="A351" s="12" t="str">
        <f>HYPERLINK("https://my.zakupki.prom.ua/remote/dispatcher/state_purchase_view/44135924", "UA-2023-07-25-012029-a")</f>
        <v>UA-2023-07-25-012029-a</v>
      </c>
      <c r="B351" s="12" t="s">
        <v>1031</v>
      </c>
      <c r="C351" s="12" t="s">
        <v>1053</v>
      </c>
      <c r="D351" s="13" t="s">
        <v>295</v>
      </c>
      <c r="E351" s="14">
        <v>45127</v>
      </c>
      <c r="F351" s="6">
        <v>351</v>
      </c>
      <c r="G351" s="58">
        <v>110180</v>
      </c>
      <c r="H351" s="17" t="s">
        <v>50</v>
      </c>
      <c r="I351" s="12" t="s">
        <v>51</v>
      </c>
      <c r="J351" s="6">
        <v>3036019055</v>
      </c>
      <c r="K351" s="12" t="s">
        <v>1071</v>
      </c>
      <c r="L351" s="12" t="s">
        <v>1092</v>
      </c>
      <c r="M351" s="13">
        <v>57900</v>
      </c>
    </row>
    <row r="352" spans="1:13" ht="90" x14ac:dyDescent="0.25">
      <c r="A352" s="12" t="str">
        <f>HYPERLINK("https://my.zakupki.prom.ua/remote/dispatcher/state_purchase_view/44135817", "UA-2023-07-25-011990-a")</f>
        <v>UA-2023-07-25-011990-a</v>
      </c>
      <c r="B352" s="12" t="s">
        <v>730</v>
      </c>
      <c r="C352" s="12" t="s">
        <v>1054</v>
      </c>
      <c r="D352" s="37" t="s">
        <v>1098</v>
      </c>
      <c r="E352" s="14">
        <v>45127</v>
      </c>
      <c r="F352" s="6">
        <v>352</v>
      </c>
      <c r="G352" s="58">
        <v>110180</v>
      </c>
      <c r="H352" s="17" t="s">
        <v>50</v>
      </c>
      <c r="I352" s="12" t="s">
        <v>51</v>
      </c>
      <c r="J352" s="6">
        <v>2862111967</v>
      </c>
      <c r="K352" s="12" t="s">
        <v>1358</v>
      </c>
      <c r="L352" s="12" t="s">
        <v>1093</v>
      </c>
      <c r="M352" s="13">
        <v>13795</v>
      </c>
    </row>
    <row r="353" spans="1:13" ht="135" x14ac:dyDescent="0.25">
      <c r="A353" s="12" t="str">
        <f>HYPERLINK("https://my.zakupki.prom.ua/remote/dispatcher/state_purchase_view/44134831", "UA-2023-07-25-011599-a")</f>
        <v>UA-2023-07-25-011599-a</v>
      </c>
      <c r="B353" s="12" t="s">
        <v>430</v>
      </c>
      <c r="C353" s="12" t="s">
        <v>1055</v>
      </c>
      <c r="D353" s="13" t="s">
        <v>225</v>
      </c>
      <c r="E353" s="14">
        <v>45127</v>
      </c>
      <c r="F353" s="6">
        <v>353</v>
      </c>
      <c r="G353" s="58">
        <v>110150</v>
      </c>
      <c r="H353" s="17" t="s">
        <v>50</v>
      </c>
      <c r="I353" s="12" t="s">
        <v>51</v>
      </c>
      <c r="J353" s="6">
        <v>42566969</v>
      </c>
      <c r="K353" s="12" t="s">
        <v>63</v>
      </c>
      <c r="L353" s="12" t="s">
        <v>1094</v>
      </c>
      <c r="M353" s="13">
        <v>1461.02</v>
      </c>
    </row>
    <row r="354" spans="1:13" ht="150" x14ac:dyDescent="0.25">
      <c r="A354" s="12" t="str">
        <f>HYPERLINK("https://my.zakupki.prom.ua/remote/dispatcher/state_purchase_view/44158768", "UA-2023-07-26-009167-a")</f>
        <v>UA-2023-07-26-009167-a</v>
      </c>
      <c r="B354" s="12" t="s">
        <v>31</v>
      </c>
      <c r="C354" s="12" t="s">
        <v>1056</v>
      </c>
      <c r="D354" s="13" t="s">
        <v>225</v>
      </c>
      <c r="E354" s="14">
        <v>45127</v>
      </c>
      <c r="F354" s="6">
        <v>354</v>
      </c>
      <c r="G354" s="58">
        <v>118230</v>
      </c>
      <c r="H354" s="17" t="s">
        <v>50</v>
      </c>
      <c r="I354" s="12" t="s">
        <v>51</v>
      </c>
      <c r="J354" s="6">
        <v>2461019017</v>
      </c>
      <c r="K354" s="12" t="s">
        <v>70</v>
      </c>
      <c r="L354" s="12" t="s">
        <v>1095</v>
      </c>
      <c r="M354" s="13">
        <v>7453.15</v>
      </c>
    </row>
    <row r="355" spans="1:13" ht="165" x14ac:dyDescent="0.25">
      <c r="A355" s="12" t="str">
        <f>HYPERLINK("https://my.zakupki.prom.ua/remote/dispatcher/state_purchase_view/44159135", "UA-2023-07-26-009341-a")</f>
        <v>UA-2023-07-26-009341-a</v>
      </c>
      <c r="B355" s="12" t="s">
        <v>31</v>
      </c>
      <c r="C355" s="12" t="s">
        <v>1057</v>
      </c>
      <c r="D355" s="13" t="s">
        <v>225</v>
      </c>
      <c r="E355" s="14">
        <v>45127</v>
      </c>
      <c r="F355" s="6">
        <v>355</v>
      </c>
      <c r="G355" s="58">
        <v>118230</v>
      </c>
      <c r="H355" s="17" t="s">
        <v>50</v>
      </c>
      <c r="I355" s="12" t="s">
        <v>51</v>
      </c>
      <c r="J355" s="6">
        <v>2461019017</v>
      </c>
      <c r="K355" s="12" t="s">
        <v>70</v>
      </c>
      <c r="L355" s="12" t="s">
        <v>1096</v>
      </c>
      <c r="M355" s="13">
        <v>38272.82</v>
      </c>
    </row>
    <row r="356" spans="1:13" ht="66.75" customHeight="1" x14ac:dyDescent="0.25">
      <c r="A356" s="12" t="str">
        <f>HYPERLINK("https://my.zakupki.prom.ua/remote/dispatcher/state_purchase_view/44166126", "UA-2023-07-27-000083-a")</f>
        <v>UA-2023-07-27-000083-a</v>
      </c>
      <c r="B356" s="12" t="s">
        <v>678</v>
      </c>
      <c r="C356" s="12" t="s">
        <v>1058</v>
      </c>
      <c r="D356" s="13" t="s">
        <v>295</v>
      </c>
      <c r="E356" s="14">
        <v>45131</v>
      </c>
      <c r="F356" s="6">
        <v>356</v>
      </c>
      <c r="G356" s="58">
        <v>117693</v>
      </c>
      <c r="H356" s="17" t="s">
        <v>50</v>
      </c>
      <c r="I356" s="12" t="s">
        <v>51</v>
      </c>
      <c r="J356" s="6">
        <v>2286208605</v>
      </c>
      <c r="K356" s="12" t="s">
        <v>1109</v>
      </c>
      <c r="L356" s="12" t="s">
        <v>1097</v>
      </c>
      <c r="M356" s="13">
        <v>16165</v>
      </c>
    </row>
    <row r="357" spans="1:13" ht="84.75" customHeight="1" x14ac:dyDescent="0.25">
      <c r="A357" s="60" t="s">
        <v>1193</v>
      </c>
      <c r="B357" s="17" t="s">
        <v>31</v>
      </c>
      <c r="C357" s="17" t="s">
        <v>1007</v>
      </c>
      <c r="D357" s="13" t="s">
        <v>225</v>
      </c>
      <c r="E357" s="22">
        <v>45135</v>
      </c>
      <c r="F357" s="23">
        <v>357</v>
      </c>
      <c r="G357" s="33">
        <v>118230</v>
      </c>
      <c r="H357" s="17" t="s">
        <v>50</v>
      </c>
      <c r="I357" s="17" t="s">
        <v>51</v>
      </c>
      <c r="J357" s="23" t="s">
        <v>69</v>
      </c>
      <c r="K357" s="17" t="s">
        <v>70</v>
      </c>
      <c r="L357" s="17" t="s">
        <v>1006</v>
      </c>
      <c r="M357" s="18">
        <v>11626.07</v>
      </c>
    </row>
    <row r="358" spans="1:13" ht="165" x14ac:dyDescent="0.25">
      <c r="A358" s="54" t="s">
        <v>1194</v>
      </c>
      <c r="B358" s="17" t="s">
        <v>31</v>
      </c>
      <c r="C358" s="17" t="s">
        <v>1013</v>
      </c>
      <c r="D358" s="13" t="s">
        <v>225</v>
      </c>
      <c r="E358" s="22">
        <v>45138</v>
      </c>
      <c r="F358" s="23">
        <v>358</v>
      </c>
      <c r="G358" s="33">
        <v>118230</v>
      </c>
      <c r="H358" s="17" t="s">
        <v>50</v>
      </c>
      <c r="I358" s="17" t="s">
        <v>51</v>
      </c>
      <c r="J358" s="23" t="s">
        <v>69</v>
      </c>
      <c r="K358" s="17" t="s">
        <v>70</v>
      </c>
      <c r="L358" s="17" t="s">
        <v>1012</v>
      </c>
      <c r="M358" s="18">
        <v>101926.68</v>
      </c>
    </row>
    <row r="359" spans="1:13" ht="150" x14ac:dyDescent="0.25">
      <c r="A359" s="12" t="s">
        <v>1195</v>
      </c>
      <c r="B359" s="12" t="s">
        <v>31</v>
      </c>
      <c r="C359" s="12" t="s">
        <v>1056</v>
      </c>
      <c r="D359" s="13" t="s">
        <v>225</v>
      </c>
      <c r="E359" s="22">
        <v>45138</v>
      </c>
      <c r="F359" s="6">
        <v>359</v>
      </c>
      <c r="G359" s="58">
        <v>118230</v>
      </c>
      <c r="H359" s="17" t="s">
        <v>50</v>
      </c>
      <c r="I359" s="12" t="s">
        <v>51</v>
      </c>
      <c r="J359" s="6">
        <v>2461019017</v>
      </c>
      <c r="K359" s="12" t="s">
        <v>70</v>
      </c>
      <c r="L359" s="12" t="s">
        <v>1095</v>
      </c>
      <c r="M359" s="13">
        <v>7387.86</v>
      </c>
    </row>
    <row r="360" spans="1:13" ht="165" x14ac:dyDescent="0.25">
      <c r="A360" s="12" t="s">
        <v>1196</v>
      </c>
      <c r="B360" s="12" t="s">
        <v>31</v>
      </c>
      <c r="C360" s="12" t="s">
        <v>1057</v>
      </c>
      <c r="D360" s="13" t="s">
        <v>225</v>
      </c>
      <c r="E360" s="22">
        <v>45138</v>
      </c>
      <c r="F360" s="6">
        <v>360</v>
      </c>
      <c r="G360" s="58">
        <v>118230</v>
      </c>
      <c r="H360" s="17" t="s">
        <v>50</v>
      </c>
      <c r="I360" s="12" t="s">
        <v>51</v>
      </c>
      <c r="J360" s="6">
        <v>2461019017</v>
      </c>
      <c r="K360" s="12" t="s">
        <v>70</v>
      </c>
      <c r="L360" s="12" t="s">
        <v>1096</v>
      </c>
      <c r="M360" s="13">
        <v>38257.5</v>
      </c>
    </row>
    <row r="361" spans="1:13" ht="150" x14ac:dyDescent="0.25">
      <c r="A361" s="12" t="s">
        <v>1197</v>
      </c>
      <c r="B361" s="12" t="s">
        <v>378</v>
      </c>
      <c r="C361" s="12" t="s">
        <v>1051</v>
      </c>
      <c r="D361" s="13" t="s">
        <v>225</v>
      </c>
      <c r="E361" s="22">
        <v>45138</v>
      </c>
      <c r="F361" s="6">
        <v>361</v>
      </c>
      <c r="G361" s="58">
        <v>118230</v>
      </c>
      <c r="H361" s="17" t="s">
        <v>50</v>
      </c>
      <c r="I361" s="12" t="s">
        <v>51</v>
      </c>
      <c r="J361" s="6">
        <v>39983274</v>
      </c>
      <c r="K361" s="12" t="s">
        <v>382</v>
      </c>
      <c r="L361" s="12" t="s">
        <v>1090</v>
      </c>
      <c r="M361" s="13">
        <v>517329.59</v>
      </c>
    </row>
    <row r="362" spans="1:13" ht="105" x14ac:dyDescent="0.25">
      <c r="A362" s="54" t="s">
        <v>1198</v>
      </c>
      <c r="B362" s="17" t="s">
        <v>691</v>
      </c>
      <c r="C362" s="17" t="s">
        <v>1023</v>
      </c>
      <c r="D362" s="13" t="s">
        <v>225</v>
      </c>
      <c r="E362" s="22">
        <v>45138</v>
      </c>
      <c r="F362" s="23">
        <v>362</v>
      </c>
      <c r="G362" s="33">
        <v>118230</v>
      </c>
      <c r="H362" s="17" t="s">
        <v>50</v>
      </c>
      <c r="I362" s="17" t="s">
        <v>51</v>
      </c>
      <c r="J362" s="23" t="s">
        <v>693</v>
      </c>
      <c r="K362" s="17" t="s">
        <v>692</v>
      </c>
      <c r="L362" s="17" t="s">
        <v>1003</v>
      </c>
      <c r="M362" s="18">
        <v>1409352.55</v>
      </c>
    </row>
    <row r="363" spans="1:13" ht="105" x14ac:dyDescent="0.25">
      <c r="A363" s="54" t="s">
        <v>1199</v>
      </c>
      <c r="B363" s="17" t="s">
        <v>691</v>
      </c>
      <c r="C363" s="17" t="s">
        <v>1002</v>
      </c>
      <c r="D363" s="13" t="s">
        <v>225</v>
      </c>
      <c r="E363" s="22">
        <v>45138</v>
      </c>
      <c r="F363" s="23">
        <v>363</v>
      </c>
      <c r="G363" s="33">
        <v>118230</v>
      </c>
      <c r="H363" s="17" t="s">
        <v>50</v>
      </c>
      <c r="I363" s="17" t="s">
        <v>51</v>
      </c>
      <c r="J363" s="23" t="s">
        <v>693</v>
      </c>
      <c r="K363" s="17" t="s">
        <v>692</v>
      </c>
      <c r="L363" s="17" t="s">
        <v>1001</v>
      </c>
      <c r="M363" s="18">
        <v>654506.51</v>
      </c>
    </row>
    <row r="364" spans="1:13" ht="150" x14ac:dyDescent="0.25">
      <c r="A364" s="54" t="s">
        <v>1200</v>
      </c>
      <c r="B364" s="17" t="s">
        <v>31</v>
      </c>
      <c r="C364" s="17" t="s">
        <v>1000</v>
      </c>
      <c r="D364" s="13" t="s">
        <v>225</v>
      </c>
      <c r="E364" s="22">
        <v>45138</v>
      </c>
      <c r="F364" s="23">
        <v>364</v>
      </c>
      <c r="G364" s="33">
        <v>118230</v>
      </c>
      <c r="H364" s="17" t="s">
        <v>50</v>
      </c>
      <c r="I364" s="17" t="s">
        <v>51</v>
      </c>
      <c r="J364" s="23" t="s">
        <v>701</v>
      </c>
      <c r="K364" s="30" t="s">
        <v>1353</v>
      </c>
      <c r="L364" s="17" t="s">
        <v>999</v>
      </c>
      <c r="M364" s="18">
        <v>21143.17</v>
      </c>
    </row>
    <row r="365" spans="1:13" ht="150" x14ac:dyDescent="0.25">
      <c r="A365" s="54" t="s">
        <v>1201</v>
      </c>
      <c r="B365" s="17" t="s">
        <v>31</v>
      </c>
      <c r="C365" s="17" t="s">
        <v>995</v>
      </c>
      <c r="D365" s="13" t="s">
        <v>225</v>
      </c>
      <c r="E365" s="22">
        <v>45138</v>
      </c>
      <c r="F365" s="23">
        <v>365</v>
      </c>
      <c r="G365" s="33">
        <v>118230</v>
      </c>
      <c r="H365" s="17" t="s">
        <v>50</v>
      </c>
      <c r="I365" s="17" t="s">
        <v>51</v>
      </c>
      <c r="J365" s="23" t="s">
        <v>701</v>
      </c>
      <c r="K365" s="17" t="s">
        <v>996</v>
      </c>
      <c r="L365" s="17" t="s">
        <v>994</v>
      </c>
      <c r="M365" s="18">
        <v>9317.56</v>
      </c>
    </row>
    <row r="366" spans="1:13" ht="111" customHeight="1" x14ac:dyDescent="0.25">
      <c r="A366" s="17" t="s">
        <v>1202</v>
      </c>
      <c r="B366" s="17" t="s">
        <v>21</v>
      </c>
      <c r="C366" s="17" t="s">
        <v>29</v>
      </c>
      <c r="D366" s="17" t="s">
        <v>221</v>
      </c>
      <c r="E366" s="22">
        <v>45138</v>
      </c>
      <c r="F366" s="25">
        <v>366</v>
      </c>
      <c r="G366" s="25">
        <v>110150</v>
      </c>
      <c r="H366" s="17" t="s">
        <v>50</v>
      </c>
      <c r="I366" s="17" t="s">
        <v>51</v>
      </c>
      <c r="J366" s="17" t="s">
        <v>64</v>
      </c>
      <c r="K366" s="17" t="s">
        <v>175</v>
      </c>
      <c r="L366" s="17" t="s">
        <v>218</v>
      </c>
      <c r="M366" s="39"/>
    </row>
    <row r="367" spans="1:13" ht="105" x14ac:dyDescent="0.25">
      <c r="A367" s="12" t="str">
        <f>HYPERLINK("https://my.zakupki.prom.ua/remote/dispatcher/state_purchase_view/44331428", "UA-2023-08-04-004839-a")</f>
        <v>UA-2023-08-04-004839-a</v>
      </c>
      <c r="B367" s="12" t="s">
        <v>1112</v>
      </c>
      <c r="C367" s="12" t="s">
        <v>1111</v>
      </c>
      <c r="D367" s="13" t="s">
        <v>225</v>
      </c>
      <c r="E367" s="14">
        <v>45138</v>
      </c>
      <c r="F367" s="6">
        <v>367</v>
      </c>
      <c r="G367" s="39">
        <v>118230</v>
      </c>
      <c r="H367" s="17" t="s">
        <v>50</v>
      </c>
      <c r="I367" s="12" t="s">
        <v>51</v>
      </c>
      <c r="J367" s="6">
        <v>32148690</v>
      </c>
      <c r="K367" s="12" t="s">
        <v>162</v>
      </c>
      <c r="L367" s="12" t="s">
        <v>1110</v>
      </c>
      <c r="M367" s="13">
        <v>27148</v>
      </c>
    </row>
    <row r="368" spans="1:13" ht="105" x14ac:dyDescent="0.25">
      <c r="A368" s="12" t="str">
        <f>HYPERLINK("https://my.zakupki.prom.ua/remote/dispatcher/state_purchase_view/44331629", "UA-2023-08-04-004957-a")</f>
        <v>UA-2023-08-04-004957-a</v>
      </c>
      <c r="B368" s="12" t="s">
        <v>1112</v>
      </c>
      <c r="C368" s="12" t="s">
        <v>1114</v>
      </c>
      <c r="D368" s="13" t="s">
        <v>225</v>
      </c>
      <c r="E368" s="14">
        <v>45138</v>
      </c>
      <c r="F368" s="6">
        <v>368</v>
      </c>
      <c r="G368" s="39">
        <v>118230</v>
      </c>
      <c r="H368" s="17" t="s">
        <v>50</v>
      </c>
      <c r="I368" s="12" t="s">
        <v>51</v>
      </c>
      <c r="J368" s="6">
        <v>32148690</v>
      </c>
      <c r="K368" s="12" t="s">
        <v>162</v>
      </c>
      <c r="L368" s="12" t="s">
        <v>1113</v>
      </c>
      <c r="M368" s="13">
        <v>62226</v>
      </c>
    </row>
    <row r="369" spans="1:13" s="4" customFormat="1" ht="62.25" customHeight="1" x14ac:dyDescent="0.25">
      <c r="A369" s="12" t="s">
        <v>1204</v>
      </c>
      <c r="B369" s="12" t="s">
        <v>1207</v>
      </c>
      <c r="C369" s="12" t="s">
        <v>1206</v>
      </c>
      <c r="D369" s="13" t="s">
        <v>295</v>
      </c>
      <c r="E369" s="14">
        <v>45141</v>
      </c>
      <c r="F369" s="6">
        <v>369</v>
      </c>
      <c r="G369" s="39">
        <v>117700</v>
      </c>
      <c r="H369" s="17" t="s">
        <v>50</v>
      </c>
      <c r="I369" s="12" t="s">
        <v>51</v>
      </c>
      <c r="J369" s="6">
        <v>2371213034</v>
      </c>
      <c r="K369" s="12" t="s">
        <v>1205</v>
      </c>
      <c r="L369" s="12" t="s">
        <v>1203</v>
      </c>
      <c r="M369" s="13"/>
    </row>
    <row r="370" spans="1:13" ht="90" x14ac:dyDescent="0.25">
      <c r="A370" s="12" t="str">
        <f>HYPERLINK("https://my.zakupki.prom.ua/remote/dispatcher/state_purchase_view/44373904", "UA-2023-08-07-010996-a")</f>
        <v>UA-2023-08-07-010996-a</v>
      </c>
      <c r="B370" s="12" t="s">
        <v>1117</v>
      </c>
      <c r="C370" s="12" t="s">
        <v>1116</v>
      </c>
      <c r="D370" s="13" t="s">
        <v>845</v>
      </c>
      <c r="E370" s="14">
        <v>45142</v>
      </c>
      <c r="F370" s="6">
        <v>370</v>
      </c>
      <c r="G370" s="39">
        <v>117700</v>
      </c>
      <c r="H370" s="17" t="s">
        <v>50</v>
      </c>
      <c r="I370" s="12" t="s">
        <v>51</v>
      </c>
      <c r="J370" s="6">
        <v>3171604499</v>
      </c>
      <c r="K370" s="12" t="s">
        <v>1357</v>
      </c>
      <c r="L370" s="12" t="s">
        <v>1115</v>
      </c>
      <c r="M370" s="13">
        <v>98750</v>
      </c>
    </row>
    <row r="371" spans="1:13" ht="90" x14ac:dyDescent="0.25">
      <c r="A371" s="12" t="str">
        <f>HYPERLINK("https://my.zakupki.prom.ua/remote/dispatcher/state_purchase_view/44679540", "UA-2023-08-22-008425-a")</f>
        <v>UA-2023-08-22-008425-a</v>
      </c>
      <c r="B371" s="12" t="s">
        <v>678</v>
      </c>
      <c r="C371" s="12" t="s">
        <v>1119</v>
      </c>
      <c r="D371" s="13" t="s">
        <v>295</v>
      </c>
      <c r="E371" s="14">
        <v>45155</v>
      </c>
      <c r="F371" s="6">
        <v>371</v>
      </c>
      <c r="G371" s="39">
        <v>118220</v>
      </c>
      <c r="H371" s="17" t="s">
        <v>50</v>
      </c>
      <c r="I371" s="12" t="s">
        <v>51</v>
      </c>
      <c r="J371" s="6">
        <v>2884311793</v>
      </c>
      <c r="K371" s="12" t="s">
        <v>1060</v>
      </c>
      <c r="L371" s="12" t="s">
        <v>1118</v>
      </c>
      <c r="M371" s="13">
        <v>5520</v>
      </c>
    </row>
    <row r="372" spans="1:13" ht="60" x14ac:dyDescent="0.25">
      <c r="A372" s="12" t="str">
        <f>HYPERLINK("https://my.zakupki.prom.ua/remote/dispatcher/state_purchase_view/44680118", "UA-2023-08-22-008688-a")</f>
        <v>UA-2023-08-22-008688-a</v>
      </c>
      <c r="B372" s="12" t="s">
        <v>413</v>
      </c>
      <c r="C372" s="12" t="s">
        <v>1121</v>
      </c>
      <c r="D372" s="13" t="s">
        <v>295</v>
      </c>
      <c r="E372" s="14">
        <v>45155</v>
      </c>
      <c r="F372" s="6">
        <v>372</v>
      </c>
      <c r="G372" s="39">
        <v>118220</v>
      </c>
      <c r="H372" s="17" t="s">
        <v>50</v>
      </c>
      <c r="I372" s="12" t="s">
        <v>51</v>
      </c>
      <c r="J372" s="6">
        <v>2884311793</v>
      </c>
      <c r="K372" s="12" t="s">
        <v>1060</v>
      </c>
      <c r="L372" s="12" t="s">
        <v>1120</v>
      </c>
      <c r="M372" s="13">
        <v>9750</v>
      </c>
    </row>
    <row r="373" spans="1:13" ht="75" x14ac:dyDescent="0.25">
      <c r="A373" s="12" t="str">
        <f>HYPERLINK("https://my.zakupki.prom.ua/remote/dispatcher/state_purchase_view/44687800", "UA-2023-08-22-012102-a")</f>
        <v>UA-2023-08-22-012102-a</v>
      </c>
      <c r="B373" s="12" t="s">
        <v>28</v>
      </c>
      <c r="C373" s="12" t="s">
        <v>1123</v>
      </c>
      <c r="D373" s="13" t="s">
        <v>295</v>
      </c>
      <c r="E373" s="14">
        <v>45155</v>
      </c>
      <c r="F373" s="6">
        <v>373</v>
      </c>
      <c r="G373" s="39">
        <v>118230</v>
      </c>
      <c r="H373" s="17" t="s">
        <v>50</v>
      </c>
      <c r="I373" s="12" t="s">
        <v>51</v>
      </c>
      <c r="J373" s="6">
        <v>2908913438</v>
      </c>
      <c r="K373" s="12" t="s">
        <v>593</v>
      </c>
      <c r="L373" s="12" t="s">
        <v>1122</v>
      </c>
      <c r="M373" s="13">
        <v>83600</v>
      </c>
    </row>
    <row r="374" spans="1:13" ht="210" x14ac:dyDescent="0.25">
      <c r="A374" s="12" t="str">
        <f>HYPERLINK("https://my.zakupki.prom.ua/remote/dispatcher/state_purchase_view/44710051", "UA-2023-08-23-008455-a")</f>
        <v>UA-2023-08-23-008455-a</v>
      </c>
      <c r="B374" s="12" t="s">
        <v>237</v>
      </c>
      <c r="C374" s="12" t="s">
        <v>1125</v>
      </c>
      <c r="D374" s="13" t="s">
        <v>225</v>
      </c>
      <c r="E374" s="14">
        <v>45159</v>
      </c>
      <c r="F374" s="6">
        <v>374</v>
      </c>
      <c r="G374" s="39">
        <v>118230</v>
      </c>
      <c r="H374" s="17" t="s">
        <v>50</v>
      </c>
      <c r="I374" s="12" t="s">
        <v>51</v>
      </c>
      <c r="J374" s="6">
        <v>31430142</v>
      </c>
      <c r="K374" s="12" t="s">
        <v>267</v>
      </c>
      <c r="L374" s="12" t="s">
        <v>1124</v>
      </c>
      <c r="M374" s="13">
        <v>270000</v>
      </c>
    </row>
    <row r="375" spans="1:13" s="4" customFormat="1" ht="98.25" customHeight="1" x14ac:dyDescent="0.25">
      <c r="A375" s="12" t="s">
        <v>1212</v>
      </c>
      <c r="B375" s="12" t="s">
        <v>1210</v>
      </c>
      <c r="C375" s="12" t="s">
        <v>1213</v>
      </c>
      <c r="D375" s="13" t="s">
        <v>1208</v>
      </c>
      <c r="E375" s="14">
        <v>45159</v>
      </c>
      <c r="F375" s="6">
        <v>375</v>
      </c>
      <c r="G375" s="39">
        <v>116083</v>
      </c>
      <c r="H375" s="17" t="s">
        <v>50</v>
      </c>
      <c r="I375" s="12" t="s">
        <v>51</v>
      </c>
      <c r="J375" s="6">
        <v>22194022</v>
      </c>
      <c r="K375" s="12" t="s">
        <v>1209</v>
      </c>
      <c r="L375" s="12" t="s">
        <v>1211</v>
      </c>
      <c r="M375" s="13">
        <v>2214164.9</v>
      </c>
    </row>
    <row r="376" spans="1:13" ht="135" x14ac:dyDescent="0.25">
      <c r="A376" s="12" t="str">
        <f>HYPERLINK("https://my.zakupki.prom.ua/remote/dispatcher/state_purchase_view/44788907", "UA-2023-08-28-008279-a")</f>
        <v>UA-2023-08-28-008279-a</v>
      </c>
      <c r="B376" s="12" t="s">
        <v>31</v>
      </c>
      <c r="C376" s="12" t="s">
        <v>1127</v>
      </c>
      <c r="D376" s="13" t="s">
        <v>225</v>
      </c>
      <c r="E376" s="14">
        <v>45160</v>
      </c>
      <c r="F376" s="6">
        <v>376</v>
      </c>
      <c r="G376" s="39">
        <v>118230</v>
      </c>
      <c r="H376" s="17" t="s">
        <v>50</v>
      </c>
      <c r="I376" s="12" t="s">
        <v>51</v>
      </c>
      <c r="J376" s="6">
        <v>43393476</v>
      </c>
      <c r="K376" s="12" t="s">
        <v>1128</v>
      </c>
      <c r="L376" s="12" t="s">
        <v>1126</v>
      </c>
      <c r="M376" s="13">
        <v>14989</v>
      </c>
    </row>
    <row r="377" spans="1:13" ht="165" x14ac:dyDescent="0.25">
      <c r="A377" s="12" t="str">
        <f>HYPERLINK("https://my.zakupki.prom.ua/remote/dispatcher/state_purchase_view/44789063", "UA-2023-08-28-008370-a")</f>
        <v>UA-2023-08-28-008370-a</v>
      </c>
      <c r="B377" s="12" t="s">
        <v>31</v>
      </c>
      <c r="C377" s="12" t="s">
        <v>1130</v>
      </c>
      <c r="D377" s="13" t="s">
        <v>225</v>
      </c>
      <c r="E377" s="14">
        <v>45160</v>
      </c>
      <c r="F377" s="6">
        <v>377</v>
      </c>
      <c r="G377" s="39">
        <v>118230</v>
      </c>
      <c r="H377" s="17" t="s">
        <v>50</v>
      </c>
      <c r="I377" s="12" t="s">
        <v>51</v>
      </c>
      <c r="J377" s="6">
        <v>2511711456</v>
      </c>
      <c r="K377" s="12" t="s">
        <v>352</v>
      </c>
      <c r="L377" s="12" t="s">
        <v>1129</v>
      </c>
      <c r="M377" s="13">
        <v>9368</v>
      </c>
    </row>
    <row r="378" spans="1:13" ht="150" x14ac:dyDescent="0.25">
      <c r="A378" s="12" t="str">
        <f>HYPERLINK("https://my.zakupki.prom.ua/remote/dispatcher/state_purchase_view/44789746", "UA-2023-08-28-008687-a")</f>
        <v>UA-2023-08-28-008687-a</v>
      </c>
      <c r="B378" s="12" t="s">
        <v>31</v>
      </c>
      <c r="C378" s="12" t="s">
        <v>1132</v>
      </c>
      <c r="D378" s="13" t="s">
        <v>225</v>
      </c>
      <c r="E378" s="14">
        <v>45160</v>
      </c>
      <c r="F378" s="6">
        <v>378</v>
      </c>
      <c r="G378" s="39">
        <v>118230</v>
      </c>
      <c r="H378" s="17" t="s">
        <v>50</v>
      </c>
      <c r="I378" s="12" t="s">
        <v>51</v>
      </c>
      <c r="J378" s="6">
        <v>44649444</v>
      </c>
      <c r="K378" s="12" t="s">
        <v>355</v>
      </c>
      <c r="L378" s="12" t="s">
        <v>1131</v>
      </c>
      <c r="M378" s="13">
        <v>4570</v>
      </c>
    </row>
    <row r="379" spans="1:13" ht="135" x14ac:dyDescent="0.25">
      <c r="A379" s="12" t="str">
        <f>HYPERLINK("https://my.zakupki.prom.ua/remote/dispatcher/state_purchase_view/44790376", "UA-2023-08-28-008952-a")</f>
        <v>UA-2023-08-28-008952-a</v>
      </c>
      <c r="B379" s="12" t="s">
        <v>31</v>
      </c>
      <c r="C379" s="12" t="s">
        <v>1134</v>
      </c>
      <c r="D379" s="13" t="s">
        <v>225</v>
      </c>
      <c r="E379" s="14">
        <v>45160</v>
      </c>
      <c r="F379" s="6">
        <v>379</v>
      </c>
      <c r="G379" s="39">
        <v>118230</v>
      </c>
      <c r="H379" s="17" t="s">
        <v>50</v>
      </c>
      <c r="I379" s="12" t="s">
        <v>51</v>
      </c>
      <c r="J379" s="6">
        <v>44649444</v>
      </c>
      <c r="K379" s="12" t="s">
        <v>355</v>
      </c>
      <c r="L379" s="12" t="s">
        <v>1133</v>
      </c>
      <c r="M379" s="13">
        <v>8330</v>
      </c>
    </row>
    <row r="380" spans="1:13" ht="135" x14ac:dyDescent="0.25">
      <c r="A380" s="12" t="str">
        <f>HYPERLINK("https://my.zakupki.prom.ua/remote/dispatcher/state_purchase_view/44793527", "UA-2023-08-28-010410-a")</f>
        <v>UA-2023-08-28-010410-a</v>
      </c>
      <c r="B380" s="12" t="s">
        <v>31</v>
      </c>
      <c r="C380" s="12" t="s">
        <v>1136</v>
      </c>
      <c r="D380" s="13" t="s">
        <v>225</v>
      </c>
      <c r="E380" s="14">
        <v>45160</v>
      </c>
      <c r="F380" s="6">
        <v>380</v>
      </c>
      <c r="G380" s="39">
        <v>118230</v>
      </c>
      <c r="H380" s="17" t="s">
        <v>50</v>
      </c>
      <c r="I380" s="12" t="s">
        <v>51</v>
      </c>
      <c r="J380" s="6">
        <v>44649444</v>
      </c>
      <c r="K380" s="12" t="s">
        <v>355</v>
      </c>
      <c r="L380" s="12" t="s">
        <v>1135</v>
      </c>
      <c r="M380" s="13">
        <v>4442</v>
      </c>
    </row>
    <row r="381" spans="1:13" ht="135" x14ac:dyDescent="0.25">
      <c r="A381" s="12" t="str">
        <f>HYPERLINK("https://my.zakupki.prom.ua/remote/dispatcher/state_purchase_view/44793868", "UA-2023-08-28-010552-a")</f>
        <v>UA-2023-08-28-010552-a</v>
      </c>
      <c r="B381" s="12" t="s">
        <v>31</v>
      </c>
      <c r="C381" s="12" t="s">
        <v>1138</v>
      </c>
      <c r="D381" s="13" t="s">
        <v>225</v>
      </c>
      <c r="E381" s="14">
        <v>45160</v>
      </c>
      <c r="F381" s="6">
        <v>381</v>
      </c>
      <c r="G381" s="39">
        <v>118230</v>
      </c>
      <c r="H381" s="17" t="s">
        <v>50</v>
      </c>
      <c r="I381" s="12" t="s">
        <v>51</v>
      </c>
      <c r="J381" s="6">
        <v>44649444</v>
      </c>
      <c r="K381" s="12" t="s">
        <v>355</v>
      </c>
      <c r="L381" s="12" t="s">
        <v>1137</v>
      </c>
      <c r="M381" s="13">
        <v>4442</v>
      </c>
    </row>
    <row r="382" spans="1:13" ht="135" x14ac:dyDescent="0.25">
      <c r="A382" s="12" t="str">
        <f>HYPERLINK("https://my.zakupki.prom.ua/remote/dispatcher/state_purchase_view/44794122", "UA-2023-08-28-010710-a")</f>
        <v>UA-2023-08-28-010710-a</v>
      </c>
      <c r="B382" s="12" t="s">
        <v>31</v>
      </c>
      <c r="C382" s="12" t="s">
        <v>1140</v>
      </c>
      <c r="D382" s="13" t="s">
        <v>225</v>
      </c>
      <c r="E382" s="14">
        <v>45160</v>
      </c>
      <c r="F382" s="6">
        <v>382</v>
      </c>
      <c r="G382" s="39">
        <v>118230</v>
      </c>
      <c r="H382" s="17" t="s">
        <v>50</v>
      </c>
      <c r="I382" s="12" t="s">
        <v>51</v>
      </c>
      <c r="J382" s="6">
        <v>44649444</v>
      </c>
      <c r="K382" s="12" t="s">
        <v>355</v>
      </c>
      <c r="L382" s="12" t="s">
        <v>1139</v>
      </c>
      <c r="M382" s="13">
        <v>8330</v>
      </c>
    </row>
    <row r="383" spans="1:13" ht="75" x14ac:dyDescent="0.25">
      <c r="A383" s="12" t="str">
        <f>HYPERLINK("https://my.zakupki.prom.ua/remote/dispatcher/state_purchase_view/44764303", "UA-2023-08-25-009781-a")</f>
        <v>UA-2023-08-25-009781-a</v>
      </c>
      <c r="B383" s="12" t="s">
        <v>982</v>
      </c>
      <c r="C383" s="12" t="s">
        <v>1142</v>
      </c>
      <c r="D383" s="13" t="s">
        <v>845</v>
      </c>
      <c r="E383" s="14">
        <v>45162</v>
      </c>
      <c r="F383" s="6">
        <v>383</v>
      </c>
      <c r="G383" s="39">
        <v>117700</v>
      </c>
      <c r="H383" s="17" t="s">
        <v>50</v>
      </c>
      <c r="I383" s="12" t="s">
        <v>51</v>
      </c>
      <c r="J383" s="6">
        <v>2930513760</v>
      </c>
      <c r="K383" s="12" t="s">
        <v>1143</v>
      </c>
      <c r="L383" s="12" t="s">
        <v>1141</v>
      </c>
      <c r="M383" s="13">
        <v>57000</v>
      </c>
    </row>
    <row r="384" spans="1:13" ht="135" x14ac:dyDescent="0.25">
      <c r="A384" s="12" t="str">
        <f>HYPERLINK("https://my.zakupki.prom.ua/remote/dispatcher/state_purchase_view/44802631", "UA-2023-08-29-001992-a")</f>
        <v>UA-2023-08-29-001992-a</v>
      </c>
      <c r="B384" s="12" t="s">
        <v>378</v>
      </c>
      <c r="C384" s="12" t="s">
        <v>1145</v>
      </c>
      <c r="D384" s="13" t="s">
        <v>225</v>
      </c>
      <c r="E384" s="14">
        <v>45162</v>
      </c>
      <c r="F384" s="6">
        <v>384</v>
      </c>
      <c r="G384" s="39">
        <v>118230</v>
      </c>
      <c r="H384" s="17" t="s">
        <v>50</v>
      </c>
      <c r="I384" s="12" t="s">
        <v>51</v>
      </c>
      <c r="J384" s="6">
        <v>30051316</v>
      </c>
      <c r="K384" s="12" t="s">
        <v>1146</v>
      </c>
      <c r="L384" s="12" t="s">
        <v>1144</v>
      </c>
      <c r="M384" s="13">
        <v>2148524.4</v>
      </c>
    </row>
    <row r="385" spans="1:13" ht="90" x14ac:dyDescent="0.25">
      <c r="A385" s="12" t="str">
        <f>HYPERLINK("https://my.zakupki.prom.ua/remote/dispatcher/state_purchase_view/44843762", "UA-2023-08-30-008251-a")</f>
        <v>UA-2023-08-30-008251-a</v>
      </c>
      <c r="B385" s="12" t="s">
        <v>45</v>
      </c>
      <c r="C385" s="12" t="s">
        <v>1148</v>
      </c>
      <c r="D385" s="13" t="s">
        <v>225</v>
      </c>
      <c r="E385" s="14">
        <v>45162</v>
      </c>
      <c r="F385" s="6">
        <v>385</v>
      </c>
      <c r="G385" s="39">
        <v>118230</v>
      </c>
      <c r="H385" s="17" t="s">
        <v>50</v>
      </c>
      <c r="I385" s="12" t="s">
        <v>51</v>
      </c>
      <c r="J385" s="6">
        <v>33909174</v>
      </c>
      <c r="K385" s="12" t="s">
        <v>1149</v>
      </c>
      <c r="L385" s="12" t="s">
        <v>1147</v>
      </c>
      <c r="M385" s="13">
        <v>2681492.9500000002</v>
      </c>
    </row>
    <row r="386" spans="1:13" ht="105" x14ac:dyDescent="0.25">
      <c r="A386" s="12" t="str">
        <f>HYPERLINK("https://my.zakupki.prom.ua/remote/dispatcher/state_purchase_view/44843276", "UA-2023-08-30-008034-a")</f>
        <v>UA-2023-08-30-008034-a</v>
      </c>
      <c r="B386" s="12" t="s">
        <v>45</v>
      </c>
      <c r="C386" s="12" t="s">
        <v>1151</v>
      </c>
      <c r="D386" s="13" t="s">
        <v>225</v>
      </c>
      <c r="E386" s="14">
        <v>45162</v>
      </c>
      <c r="F386" s="6">
        <v>386</v>
      </c>
      <c r="G386" s="39">
        <v>118230</v>
      </c>
      <c r="H386" s="17" t="s">
        <v>50</v>
      </c>
      <c r="I386" s="12" t="s">
        <v>51</v>
      </c>
      <c r="J386" s="6">
        <v>33909174</v>
      </c>
      <c r="K386" s="12" t="s">
        <v>1149</v>
      </c>
      <c r="L386" s="12" t="s">
        <v>1150</v>
      </c>
      <c r="M386" s="13">
        <v>307778.21999999997</v>
      </c>
    </row>
    <row r="387" spans="1:13" ht="180" x14ac:dyDescent="0.25">
      <c r="A387" s="12" t="str">
        <f>HYPERLINK("https://my.zakupki.prom.ua/remote/dispatcher/state_purchase_view/44848353", "UA-2023-08-30-010352-a")</f>
        <v>UA-2023-08-30-010352-a</v>
      </c>
      <c r="B387" s="12" t="s">
        <v>730</v>
      </c>
      <c r="C387" s="12" t="s">
        <v>1153</v>
      </c>
      <c r="D387" s="37" t="s">
        <v>1098</v>
      </c>
      <c r="E387" s="14">
        <v>45162</v>
      </c>
      <c r="F387" s="6">
        <v>387</v>
      </c>
      <c r="G387" s="39">
        <v>110180</v>
      </c>
      <c r="H387" s="17" t="s">
        <v>50</v>
      </c>
      <c r="I387" s="12" t="s">
        <v>51</v>
      </c>
      <c r="J387" s="6">
        <v>2719618023</v>
      </c>
      <c r="K387" s="12" t="s">
        <v>1154</v>
      </c>
      <c r="L387" s="12" t="s">
        <v>1152</v>
      </c>
      <c r="M387" s="13">
        <v>11950</v>
      </c>
    </row>
    <row r="388" spans="1:13" ht="75" x14ac:dyDescent="0.25">
      <c r="A388" s="12" t="str">
        <f>HYPERLINK("https://my.zakupki.prom.ua/remote/dispatcher/state_purchase_view/44854039", "UA-2023-08-31-001346-a")</f>
        <v>UA-2023-08-31-001346-a</v>
      </c>
      <c r="B388" s="12" t="s">
        <v>1025</v>
      </c>
      <c r="C388" s="12" t="s">
        <v>1156</v>
      </c>
      <c r="D388" s="13" t="s">
        <v>225</v>
      </c>
      <c r="E388" s="14">
        <v>45162</v>
      </c>
      <c r="F388" s="6">
        <v>388</v>
      </c>
      <c r="G388" s="39">
        <v>117630</v>
      </c>
      <c r="H388" s="17" t="s">
        <v>50</v>
      </c>
      <c r="I388" s="12" t="s">
        <v>51</v>
      </c>
      <c r="J388" s="6">
        <v>1728903753</v>
      </c>
      <c r="K388" s="12" t="s">
        <v>1219</v>
      </c>
      <c r="L388" s="12" t="s">
        <v>1155</v>
      </c>
      <c r="M388" s="13">
        <v>3000</v>
      </c>
    </row>
    <row r="389" spans="1:13" ht="60" x14ac:dyDescent="0.25">
      <c r="A389" s="12" t="str">
        <f>HYPERLINK("https://my.zakupki.prom.ua/remote/dispatcher/state_purchase_view/44846111", "UA-2023-08-30-009300-a")</f>
        <v>UA-2023-08-30-009300-a</v>
      </c>
      <c r="B389" s="12" t="s">
        <v>651</v>
      </c>
      <c r="C389" s="12" t="s">
        <v>1158</v>
      </c>
      <c r="D389" s="13" t="s">
        <v>295</v>
      </c>
      <c r="E389" s="14">
        <v>45162</v>
      </c>
      <c r="F389" s="6">
        <v>389</v>
      </c>
      <c r="G389" s="39">
        <v>110150</v>
      </c>
      <c r="H389" s="17" t="s">
        <v>50</v>
      </c>
      <c r="I389" s="12" t="s">
        <v>51</v>
      </c>
      <c r="J389" s="6">
        <v>2530103076</v>
      </c>
      <c r="K389" s="12" t="s">
        <v>1070</v>
      </c>
      <c r="L389" s="12" t="s">
        <v>1157</v>
      </c>
      <c r="M389" s="13">
        <v>6039</v>
      </c>
    </row>
    <row r="390" spans="1:13" ht="60" x14ac:dyDescent="0.25">
      <c r="A390" s="12" t="str">
        <f>HYPERLINK("https://my.zakupki.prom.ua/remote/dispatcher/state_purchase_view/44847008", "UA-2023-08-30-009750-a")</f>
        <v>UA-2023-08-30-009750-a</v>
      </c>
      <c r="B390" s="12" t="s">
        <v>1161</v>
      </c>
      <c r="C390" s="12" t="s">
        <v>1160</v>
      </c>
      <c r="D390" s="13" t="s">
        <v>295</v>
      </c>
      <c r="E390" s="14">
        <v>45162</v>
      </c>
      <c r="F390" s="6">
        <v>390</v>
      </c>
      <c r="G390" s="39">
        <v>110150</v>
      </c>
      <c r="H390" s="17" t="s">
        <v>50</v>
      </c>
      <c r="I390" s="12" t="s">
        <v>51</v>
      </c>
      <c r="J390" s="6">
        <v>2129709486</v>
      </c>
      <c r="K390" s="12" t="s">
        <v>652</v>
      </c>
      <c r="L390" s="12" t="s">
        <v>1159</v>
      </c>
      <c r="M390" s="13">
        <v>4210</v>
      </c>
    </row>
    <row r="391" spans="1:13" ht="60" x14ac:dyDescent="0.25">
      <c r="A391" s="12" t="str">
        <f>HYPERLINK("https://my.zakupki.prom.ua/remote/dispatcher/state_purchase_view/44847249", "UA-2023-08-30-009833-a")</f>
        <v>UA-2023-08-30-009833-a</v>
      </c>
      <c r="B391" s="12" t="s">
        <v>678</v>
      </c>
      <c r="C391" s="12" t="s">
        <v>1163</v>
      </c>
      <c r="D391" s="13" t="s">
        <v>295</v>
      </c>
      <c r="E391" s="14">
        <v>45162</v>
      </c>
      <c r="F391" s="6">
        <v>391</v>
      </c>
      <c r="G391" s="39">
        <v>110180</v>
      </c>
      <c r="H391" s="17" t="s">
        <v>50</v>
      </c>
      <c r="I391" s="12" t="s">
        <v>51</v>
      </c>
      <c r="J391" s="6">
        <v>2373411924</v>
      </c>
      <c r="K391" s="12" t="s">
        <v>624</v>
      </c>
      <c r="L391" s="12" t="s">
        <v>1162</v>
      </c>
      <c r="M391" s="13">
        <v>4000</v>
      </c>
    </row>
    <row r="392" spans="1:13" ht="60" x14ac:dyDescent="0.25">
      <c r="A392" s="12" t="str">
        <f>HYPERLINK("https://my.zakupki.prom.ua/remote/dispatcher/state_purchase_view/44846737", "UA-2023-08-30-009594-a")</f>
        <v>UA-2023-08-30-009594-a</v>
      </c>
      <c r="B392" s="12" t="s">
        <v>678</v>
      </c>
      <c r="C392" s="12" t="s">
        <v>1165</v>
      </c>
      <c r="D392" s="13" t="s">
        <v>295</v>
      </c>
      <c r="E392" s="14">
        <v>45162</v>
      </c>
      <c r="F392" s="6">
        <v>392</v>
      </c>
      <c r="G392" s="39">
        <v>110150</v>
      </c>
      <c r="H392" s="17" t="s">
        <v>50</v>
      </c>
      <c r="I392" s="12" t="s">
        <v>51</v>
      </c>
      <c r="J392" s="6">
        <v>2373411924</v>
      </c>
      <c r="K392" s="12" t="s">
        <v>624</v>
      </c>
      <c r="L392" s="12" t="s">
        <v>1164</v>
      </c>
      <c r="M392" s="13">
        <v>480</v>
      </c>
    </row>
    <row r="393" spans="1:13" ht="150" x14ac:dyDescent="0.25">
      <c r="A393" s="12" t="str">
        <f>HYPERLINK("https://my.zakupki.prom.ua/remote/dispatcher/state_purchase_view/44845935", "UA-2023-08-30-009219-a")</f>
        <v>UA-2023-08-30-009219-a</v>
      </c>
      <c r="B393" s="12" t="s">
        <v>882</v>
      </c>
      <c r="C393" s="12" t="s">
        <v>1167</v>
      </c>
      <c r="D393" s="13" t="s">
        <v>295</v>
      </c>
      <c r="E393" s="14">
        <v>45162</v>
      </c>
      <c r="F393" s="6">
        <v>393</v>
      </c>
      <c r="G393" s="39">
        <v>110150</v>
      </c>
      <c r="H393" s="17" t="s">
        <v>50</v>
      </c>
      <c r="I393" s="12" t="s">
        <v>51</v>
      </c>
      <c r="J393" s="6">
        <v>2373411924</v>
      </c>
      <c r="K393" s="12" t="s">
        <v>624</v>
      </c>
      <c r="L393" s="12" t="s">
        <v>1166</v>
      </c>
      <c r="M393" s="13">
        <v>700</v>
      </c>
    </row>
    <row r="394" spans="1:13" ht="60" x14ac:dyDescent="0.25">
      <c r="A394" s="12" t="str">
        <f>HYPERLINK("https://my.zakupki.prom.ua/remote/dispatcher/state_purchase_view/44846842", "UA-2023-08-30-009659-a")</f>
        <v>UA-2023-08-30-009659-a</v>
      </c>
      <c r="B394" s="12" t="s">
        <v>678</v>
      </c>
      <c r="C394" s="12" t="s">
        <v>1169</v>
      </c>
      <c r="D394" s="13" t="s">
        <v>295</v>
      </c>
      <c r="E394" s="14">
        <v>45162</v>
      </c>
      <c r="F394" s="6">
        <v>394</v>
      </c>
      <c r="G394" s="39">
        <v>110150</v>
      </c>
      <c r="H394" s="17" t="s">
        <v>50</v>
      </c>
      <c r="I394" s="12" t="s">
        <v>51</v>
      </c>
      <c r="J394" s="6">
        <v>2373411924</v>
      </c>
      <c r="K394" s="12" t="s">
        <v>624</v>
      </c>
      <c r="L394" s="12" t="s">
        <v>1168</v>
      </c>
      <c r="M394" s="13">
        <v>3500</v>
      </c>
    </row>
    <row r="395" spans="1:13" ht="105" x14ac:dyDescent="0.25">
      <c r="A395" s="12" t="str">
        <f>HYPERLINK("https://my.zakupki.prom.ua/remote/dispatcher/state_purchase_view/44848888", "UA-2023-08-30-010601-a")</f>
        <v>UA-2023-08-30-010601-a</v>
      </c>
      <c r="B395" s="12" t="s">
        <v>362</v>
      </c>
      <c r="C395" s="12" t="s">
        <v>1171</v>
      </c>
      <c r="D395" s="13" t="s">
        <v>225</v>
      </c>
      <c r="E395" s="14">
        <v>45163</v>
      </c>
      <c r="F395" s="6">
        <v>395</v>
      </c>
      <c r="G395" s="39">
        <v>118230</v>
      </c>
      <c r="H395" s="17" t="s">
        <v>50</v>
      </c>
      <c r="I395" s="12" t="s">
        <v>51</v>
      </c>
      <c r="J395" s="6">
        <v>2984509254</v>
      </c>
      <c r="K395" s="12" t="s">
        <v>363</v>
      </c>
      <c r="L395" s="12" t="s">
        <v>1170</v>
      </c>
      <c r="M395" s="13">
        <v>1047619.61</v>
      </c>
    </row>
    <row r="396" spans="1:13" ht="90" x14ac:dyDescent="0.25">
      <c r="A396" s="12" t="str">
        <f>HYPERLINK("https://my.zakupki.prom.ua/remote/dispatcher/state_purchase_view/44848946", "UA-2023-08-30-010633-a")</f>
        <v>UA-2023-08-30-010633-a</v>
      </c>
      <c r="B396" s="12" t="s">
        <v>362</v>
      </c>
      <c r="C396" s="12" t="s">
        <v>1173</v>
      </c>
      <c r="D396" s="13" t="s">
        <v>225</v>
      </c>
      <c r="E396" s="14">
        <v>45163</v>
      </c>
      <c r="F396" s="6">
        <v>396</v>
      </c>
      <c r="G396" s="39">
        <v>118230</v>
      </c>
      <c r="H396" s="17" t="s">
        <v>50</v>
      </c>
      <c r="I396" s="12" t="s">
        <v>51</v>
      </c>
      <c r="J396" s="6">
        <v>2984509254</v>
      </c>
      <c r="K396" s="12" t="s">
        <v>363</v>
      </c>
      <c r="L396" s="12" t="s">
        <v>1172</v>
      </c>
      <c r="M396" s="13">
        <v>338807.13</v>
      </c>
    </row>
    <row r="397" spans="1:13" ht="90" x14ac:dyDescent="0.25">
      <c r="A397" s="12" t="str">
        <f>HYPERLINK("https://my.zakupki.prom.ua/remote/dispatcher/state_purchase_view/44849025", "UA-2023-08-30-010644-a")</f>
        <v>UA-2023-08-30-010644-a</v>
      </c>
      <c r="B397" s="12" t="s">
        <v>362</v>
      </c>
      <c r="C397" s="12" t="s">
        <v>1175</v>
      </c>
      <c r="D397" s="13" t="s">
        <v>225</v>
      </c>
      <c r="E397" s="14">
        <v>45163</v>
      </c>
      <c r="F397" s="6">
        <v>397</v>
      </c>
      <c r="G397" s="39">
        <v>118230</v>
      </c>
      <c r="H397" s="17" t="s">
        <v>50</v>
      </c>
      <c r="I397" s="12" t="s">
        <v>51</v>
      </c>
      <c r="J397" s="6">
        <v>2984509254</v>
      </c>
      <c r="K397" s="12" t="s">
        <v>363</v>
      </c>
      <c r="L397" s="12" t="s">
        <v>1174</v>
      </c>
      <c r="M397" s="13">
        <v>245782.39</v>
      </c>
    </row>
    <row r="398" spans="1:13" ht="150" x14ac:dyDescent="0.25">
      <c r="A398" s="12" t="str">
        <f>HYPERLINK("https://my.zakupki.prom.ua/remote/dispatcher/state_purchase_view/44891497", "UA-2023-09-01-007478-a")</f>
        <v>UA-2023-09-01-007478-a</v>
      </c>
      <c r="B398" s="12" t="s">
        <v>31</v>
      </c>
      <c r="C398" s="12" t="s">
        <v>1177</v>
      </c>
      <c r="D398" s="13" t="s">
        <v>225</v>
      </c>
      <c r="E398" s="14">
        <v>45163</v>
      </c>
      <c r="F398" s="6">
        <v>398</v>
      </c>
      <c r="G398" s="39">
        <v>118230</v>
      </c>
      <c r="H398" s="17" t="s">
        <v>50</v>
      </c>
      <c r="I398" s="12" t="s">
        <v>51</v>
      </c>
      <c r="J398" s="6">
        <v>2461019017</v>
      </c>
      <c r="K398" s="12" t="s">
        <v>70</v>
      </c>
      <c r="L398" s="12" t="s">
        <v>1176</v>
      </c>
      <c r="M398" s="13">
        <v>28067.45</v>
      </c>
    </row>
    <row r="399" spans="1:13" ht="195" x14ac:dyDescent="0.25">
      <c r="A399" s="12" t="str">
        <f>HYPERLINK("https://my.zakupki.prom.ua/remote/dispatcher/state_purchase_view/44909948", "UA-2023-09-04-004396-a")</f>
        <v>UA-2023-09-04-004396-a</v>
      </c>
      <c r="B399" s="12" t="s">
        <v>31</v>
      </c>
      <c r="C399" s="12" t="s">
        <v>1179</v>
      </c>
      <c r="D399" s="13" t="s">
        <v>225</v>
      </c>
      <c r="E399" s="14">
        <v>45166</v>
      </c>
      <c r="F399" s="6">
        <v>399</v>
      </c>
      <c r="G399" s="39">
        <v>118230</v>
      </c>
      <c r="H399" s="17" t="s">
        <v>50</v>
      </c>
      <c r="I399" s="12" t="s">
        <v>51</v>
      </c>
      <c r="J399" s="6">
        <v>2461019017</v>
      </c>
      <c r="K399" s="12" t="s">
        <v>70</v>
      </c>
      <c r="L399" s="12" t="s">
        <v>1178</v>
      </c>
      <c r="M399" s="13">
        <v>13087.1</v>
      </c>
    </row>
    <row r="400" spans="1:13" ht="150" x14ac:dyDescent="0.25">
      <c r="A400" s="12" t="str">
        <f>HYPERLINK("https://my.zakupki.prom.ua/remote/dispatcher/state_purchase_view/44910077", "UA-2023-09-04-004496-a")</f>
        <v>UA-2023-09-04-004496-a</v>
      </c>
      <c r="B400" s="12" t="s">
        <v>31</v>
      </c>
      <c r="C400" s="12" t="s">
        <v>1181</v>
      </c>
      <c r="D400" s="13" t="s">
        <v>225</v>
      </c>
      <c r="E400" s="14">
        <v>45166</v>
      </c>
      <c r="F400" s="6">
        <v>400</v>
      </c>
      <c r="G400" s="39">
        <v>118230</v>
      </c>
      <c r="H400" s="17" t="s">
        <v>50</v>
      </c>
      <c r="I400" s="12" t="s">
        <v>51</v>
      </c>
      <c r="J400" s="6">
        <v>2461019017</v>
      </c>
      <c r="K400" s="12" t="s">
        <v>70</v>
      </c>
      <c r="L400" s="12" t="s">
        <v>1180</v>
      </c>
      <c r="M400" s="13">
        <v>3110.68</v>
      </c>
    </row>
    <row r="401" spans="1:13" ht="180" x14ac:dyDescent="0.25">
      <c r="A401" s="12" t="str">
        <f>HYPERLINK("https://my.zakupki.prom.ua/remote/dispatcher/state_purchase_view/44915165", "UA-2023-09-04-006714-a")</f>
        <v>UA-2023-09-04-006714-a</v>
      </c>
      <c r="B401" s="12" t="s">
        <v>31</v>
      </c>
      <c r="C401" s="12" t="s">
        <v>1183</v>
      </c>
      <c r="D401" s="13" t="s">
        <v>225</v>
      </c>
      <c r="E401" s="14">
        <v>45166</v>
      </c>
      <c r="F401" s="6">
        <v>401</v>
      </c>
      <c r="G401" s="39">
        <v>118230</v>
      </c>
      <c r="H401" s="17" t="s">
        <v>50</v>
      </c>
      <c r="I401" s="12" t="s">
        <v>51</v>
      </c>
      <c r="J401" s="6">
        <v>2461019017</v>
      </c>
      <c r="K401" s="12" t="s">
        <v>70</v>
      </c>
      <c r="L401" s="12" t="s">
        <v>1182</v>
      </c>
      <c r="M401" s="13">
        <v>4309.9799999999996</v>
      </c>
    </row>
    <row r="402" spans="1:13" ht="150" x14ac:dyDescent="0.25">
      <c r="A402" s="12" t="str">
        <f>HYPERLINK("https://my.zakupki.prom.ua/remote/dispatcher/state_purchase_view/44915454", "UA-2023-09-04-006825-a")</f>
        <v>UA-2023-09-04-006825-a</v>
      </c>
      <c r="B402" s="12" t="s">
        <v>31</v>
      </c>
      <c r="C402" s="12" t="s">
        <v>1185</v>
      </c>
      <c r="D402" s="13" t="s">
        <v>225</v>
      </c>
      <c r="E402" s="14">
        <v>45166</v>
      </c>
      <c r="F402" s="6">
        <v>402</v>
      </c>
      <c r="G402" s="39">
        <v>118230</v>
      </c>
      <c r="H402" s="17" t="s">
        <v>50</v>
      </c>
      <c r="I402" s="12" t="s">
        <v>51</v>
      </c>
      <c r="J402" s="6">
        <v>2461019017</v>
      </c>
      <c r="K402" s="12" t="s">
        <v>70</v>
      </c>
      <c r="L402" s="12" t="s">
        <v>1184</v>
      </c>
      <c r="M402" s="13">
        <v>24478.25</v>
      </c>
    </row>
    <row r="403" spans="1:13" ht="165" x14ac:dyDescent="0.25">
      <c r="A403" s="12" t="str">
        <f>HYPERLINK("https://my.zakupki.prom.ua/remote/dispatcher/state_purchase_view/44915656", "UA-2023-09-04-006895-a")</f>
        <v>UA-2023-09-04-006895-a</v>
      </c>
      <c r="B403" s="12" t="s">
        <v>31</v>
      </c>
      <c r="C403" s="12" t="s">
        <v>1187</v>
      </c>
      <c r="D403" s="13" t="s">
        <v>225</v>
      </c>
      <c r="E403" s="14">
        <v>45166</v>
      </c>
      <c r="F403" s="6">
        <v>403</v>
      </c>
      <c r="G403" s="39">
        <v>118230</v>
      </c>
      <c r="H403" s="17" t="s">
        <v>50</v>
      </c>
      <c r="I403" s="12" t="s">
        <v>51</v>
      </c>
      <c r="J403" s="6">
        <v>2461019017</v>
      </c>
      <c r="K403" s="12" t="s">
        <v>70</v>
      </c>
      <c r="L403" s="12" t="s">
        <v>1186</v>
      </c>
      <c r="M403" s="13">
        <v>3169.55</v>
      </c>
    </row>
    <row r="404" spans="1:13" ht="165" x14ac:dyDescent="0.25">
      <c r="A404" s="12" t="str">
        <f>HYPERLINK("https://my.zakupki.prom.ua/remote/dispatcher/state_purchase_view/44915931", "UA-2023-09-04-007012-a")</f>
        <v>UA-2023-09-04-007012-a</v>
      </c>
      <c r="B404" s="12" t="s">
        <v>378</v>
      </c>
      <c r="C404" s="12" t="s">
        <v>1189</v>
      </c>
      <c r="D404" s="13" t="s">
        <v>225</v>
      </c>
      <c r="E404" s="14">
        <v>45166</v>
      </c>
      <c r="F404" s="6">
        <v>404</v>
      </c>
      <c r="G404" s="39">
        <v>118230</v>
      </c>
      <c r="H404" s="17" t="s">
        <v>50</v>
      </c>
      <c r="I404" s="12" t="s">
        <v>51</v>
      </c>
      <c r="J404" s="6">
        <v>42327128</v>
      </c>
      <c r="K404" s="12" t="s">
        <v>1190</v>
      </c>
      <c r="L404" s="12" t="s">
        <v>1188</v>
      </c>
      <c r="M404" s="13">
        <v>1447414.8</v>
      </c>
    </row>
    <row r="405" spans="1:13" ht="180" x14ac:dyDescent="0.25">
      <c r="A405" s="12" t="str">
        <f>HYPERLINK("https://my.zakupki.prom.ua/remote/dispatcher/state_purchase_view/44933197", "UA-2023-09-05-001273-a")</f>
        <v>UA-2023-09-05-001273-a</v>
      </c>
      <c r="B405" s="12" t="s">
        <v>31</v>
      </c>
      <c r="C405" s="12" t="s">
        <v>1192</v>
      </c>
      <c r="D405" s="13" t="s">
        <v>225</v>
      </c>
      <c r="E405" s="14">
        <v>45166</v>
      </c>
      <c r="F405" s="6">
        <v>405</v>
      </c>
      <c r="G405" s="39">
        <v>118230</v>
      </c>
      <c r="H405" s="17" t="s">
        <v>50</v>
      </c>
      <c r="I405" s="12" t="s">
        <v>51</v>
      </c>
      <c r="J405" s="6">
        <v>2461019017</v>
      </c>
      <c r="K405" s="12" t="s">
        <v>70</v>
      </c>
      <c r="L405" s="12" t="s">
        <v>1191</v>
      </c>
      <c r="M405" s="13">
        <v>17936.73</v>
      </c>
    </row>
    <row r="406" spans="1:13" s="4" customFormat="1" ht="90" x14ac:dyDescent="0.25">
      <c r="A406" s="17" t="s">
        <v>1214</v>
      </c>
      <c r="B406" s="17" t="s">
        <v>45</v>
      </c>
      <c r="C406" s="17" t="s">
        <v>739</v>
      </c>
      <c r="D406" s="13" t="s">
        <v>225</v>
      </c>
      <c r="E406" s="22">
        <v>45169</v>
      </c>
      <c r="F406" s="23">
        <v>406</v>
      </c>
      <c r="G406" s="40">
        <v>118230</v>
      </c>
      <c r="H406" s="17">
        <v>4054334</v>
      </c>
      <c r="I406" s="17" t="s">
        <v>51</v>
      </c>
      <c r="J406" s="23" t="s">
        <v>693</v>
      </c>
      <c r="K406" s="17" t="s">
        <v>692</v>
      </c>
      <c r="L406" s="17" t="s">
        <v>738</v>
      </c>
      <c r="M406" s="13"/>
    </row>
    <row r="407" spans="1:13" s="4" customFormat="1" ht="150" x14ac:dyDescent="0.25">
      <c r="A407" s="17" t="s">
        <v>1215</v>
      </c>
      <c r="B407" s="17" t="s">
        <v>31</v>
      </c>
      <c r="C407" s="17" t="s">
        <v>735</v>
      </c>
      <c r="D407" s="13" t="s">
        <v>225</v>
      </c>
      <c r="E407" s="22">
        <v>45169</v>
      </c>
      <c r="F407" s="23">
        <v>407</v>
      </c>
      <c r="G407" s="40">
        <v>118230</v>
      </c>
      <c r="H407" s="17">
        <v>4054334</v>
      </c>
      <c r="I407" s="17" t="s">
        <v>51</v>
      </c>
      <c r="J407" s="23" t="s">
        <v>701</v>
      </c>
      <c r="K407" s="30" t="s">
        <v>1353</v>
      </c>
      <c r="L407" s="17" t="s">
        <v>734</v>
      </c>
      <c r="M407" s="13"/>
    </row>
    <row r="408" spans="1:13" s="4" customFormat="1" ht="105" x14ac:dyDescent="0.25">
      <c r="A408" s="12" t="s">
        <v>1217</v>
      </c>
      <c r="B408" s="12" t="s">
        <v>1210</v>
      </c>
      <c r="C408" s="12" t="s">
        <v>1218</v>
      </c>
      <c r="D408" s="13" t="s">
        <v>1208</v>
      </c>
      <c r="E408" s="14">
        <v>45169</v>
      </c>
      <c r="F408" s="6">
        <v>408</v>
      </c>
      <c r="G408" s="39">
        <v>116083</v>
      </c>
      <c r="H408" s="17" t="s">
        <v>50</v>
      </c>
      <c r="I408" s="12" t="s">
        <v>51</v>
      </c>
      <c r="J408" s="6">
        <v>22194022</v>
      </c>
      <c r="K408" s="12" t="s">
        <v>1209</v>
      </c>
      <c r="L408" s="12" t="s">
        <v>1216</v>
      </c>
      <c r="M408" s="13">
        <v>20822954</v>
      </c>
    </row>
    <row r="409" spans="1:13" s="4" customFormat="1" ht="105" x14ac:dyDescent="0.25">
      <c r="A409" s="17" t="s">
        <v>1202</v>
      </c>
      <c r="B409" s="17" t="s">
        <v>21</v>
      </c>
      <c r="C409" s="17" t="s">
        <v>29</v>
      </c>
      <c r="D409" s="17" t="s">
        <v>221</v>
      </c>
      <c r="E409" s="22">
        <v>45169</v>
      </c>
      <c r="F409" s="25">
        <v>409</v>
      </c>
      <c r="G409" s="25">
        <v>110150</v>
      </c>
      <c r="H409" s="17" t="s">
        <v>50</v>
      </c>
      <c r="I409" s="17" t="s">
        <v>51</v>
      </c>
      <c r="J409" s="17" t="s">
        <v>64</v>
      </c>
      <c r="K409" s="17" t="s">
        <v>175</v>
      </c>
      <c r="L409" s="17" t="s">
        <v>218</v>
      </c>
      <c r="M409" s="39"/>
    </row>
    <row r="410" spans="1:13" ht="105" x14ac:dyDescent="0.25">
      <c r="A410" s="17" t="str">
        <f>HYPERLINK("https://my.zakupki.prom.ua/remote/dispatcher/state_purchase_view/44398376", "UA-2023-08-08-009719-a")</f>
        <v>UA-2023-08-08-009719-a</v>
      </c>
      <c r="B410" s="19" t="s">
        <v>1230</v>
      </c>
      <c r="C410" s="19" t="s">
        <v>1259</v>
      </c>
      <c r="D410" s="13" t="s">
        <v>295</v>
      </c>
      <c r="E410" s="20">
        <v>45170</v>
      </c>
      <c r="F410" s="19" t="s">
        <v>1339</v>
      </c>
      <c r="G410" s="17">
        <v>110150</v>
      </c>
      <c r="H410" s="19" t="s">
        <v>50</v>
      </c>
      <c r="I410" s="19" t="s">
        <v>51</v>
      </c>
      <c r="J410" s="19" t="s">
        <v>95</v>
      </c>
      <c r="K410" s="19" t="s">
        <v>96</v>
      </c>
      <c r="L410" s="19" t="s">
        <v>1290</v>
      </c>
      <c r="M410" s="21">
        <v>67900</v>
      </c>
    </row>
    <row r="411" spans="1:13" ht="135" x14ac:dyDescent="0.25">
      <c r="A411" s="17" t="str">
        <f>HYPERLINK("https://my.zakupki.prom.ua/remote/dispatcher/state_purchase_view/44375441", "UA-2023-08-07-011687-a")</f>
        <v>UA-2023-08-07-011687-a</v>
      </c>
      <c r="B411" s="19" t="s">
        <v>28</v>
      </c>
      <c r="C411" s="19" t="s">
        <v>1260</v>
      </c>
      <c r="D411" s="13" t="s">
        <v>295</v>
      </c>
      <c r="E411" s="20">
        <v>45170</v>
      </c>
      <c r="F411" s="19" t="s">
        <v>1340</v>
      </c>
      <c r="G411" s="62">
        <v>118210</v>
      </c>
      <c r="H411" s="19" t="s">
        <v>50</v>
      </c>
      <c r="I411" s="19" t="s">
        <v>51</v>
      </c>
      <c r="J411" s="19" t="s">
        <v>1304</v>
      </c>
      <c r="K411" s="19" t="s">
        <v>1311</v>
      </c>
      <c r="L411" s="19" t="s">
        <v>1291</v>
      </c>
      <c r="M411" s="21">
        <v>279792</v>
      </c>
    </row>
    <row r="412" spans="1:13" ht="120" x14ac:dyDescent="0.25">
      <c r="A412" s="17" t="str">
        <f>HYPERLINK("https://my.zakupki.prom.ua/remote/dispatcher/state_purchase_view/44403314", "UA-2023-08-08-011923-a")</f>
        <v>UA-2023-08-08-011923-a</v>
      </c>
      <c r="B412" s="19" t="s">
        <v>1229</v>
      </c>
      <c r="C412" s="19" t="s">
        <v>44</v>
      </c>
      <c r="D412" s="13" t="s">
        <v>295</v>
      </c>
      <c r="E412" s="20">
        <v>45170</v>
      </c>
      <c r="F412" s="19" t="s">
        <v>1338</v>
      </c>
      <c r="G412" s="62" t="s">
        <v>1342</v>
      </c>
      <c r="H412" s="19" t="s">
        <v>50</v>
      </c>
      <c r="I412" s="19" t="s">
        <v>51</v>
      </c>
      <c r="J412" s="19" t="s">
        <v>77</v>
      </c>
      <c r="K412" s="19" t="s">
        <v>542</v>
      </c>
      <c r="L412" s="19" t="s">
        <v>1289</v>
      </c>
      <c r="M412" s="21">
        <v>294888</v>
      </c>
    </row>
    <row r="413" spans="1:13" ht="60" x14ac:dyDescent="0.25">
      <c r="A413" s="17" t="str">
        <f>HYPERLINK("https://my.zakupki.prom.ua/remote/dispatcher/state_purchase_view/45067493", "UA-2023-09-11-001980-a")</f>
        <v>UA-2023-09-11-001980-a</v>
      </c>
      <c r="B413" s="19" t="s">
        <v>426</v>
      </c>
      <c r="C413" s="19" t="s">
        <v>1256</v>
      </c>
      <c r="D413" s="13" t="s">
        <v>295</v>
      </c>
      <c r="E413" s="20">
        <v>45173</v>
      </c>
      <c r="F413" s="19" t="s">
        <v>1334</v>
      </c>
      <c r="G413" s="62">
        <v>117693</v>
      </c>
      <c r="H413" s="19" t="s">
        <v>50</v>
      </c>
      <c r="I413" s="19" t="s">
        <v>51</v>
      </c>
      <c r="J413" s="19" t="s">
        <v>1300</v>
      </c>
      <c r="K413" s="19" t="s">
        <v>1308</v>
      </c>
      <c r="L413" s="19" t="s">
        <v>1286</v>
      </c>
      <c r="M413" s="21">
        <v>36000</v>
      </c>
    </row>
    <row r="414" spans="1:13" ht="60" x14ac:dyDescent="0.25">
      <c r="A414" s="17" t="str">
        <f>HYPERLINK("https://my.zakupki.prom.ua/remote/dispatcher/state_purchase_view/45069431", "UA-2023-09-11-002783-a")</f>
        <v>UA-2023-09-11-002783-a</v>
      </c>
      <c r="B414" s="19" t="s">
        <v>678</v>
      </c>
      <c r="C414" s="19" t="s">
        <v>1255</v>
      </c>
      <c r="D414" s="13" t="s">
        <v>295</v>
      </c>
      <c r="E414" s="20">
        <v>45173</v>
      </c>
      <c r="F414" s="19" t="s">
        <v>1333</v>
      </c>
      <c r="G414" s="62">
        <v>117693</v>
      </c>
      <c r="H414" s="19" t="s">
        <v>50</v>
      </c>
      <c r="I414" s="19" t="s">
        <v>51</v>
      </c>
      <c r="J414" s="19" t="s">
        <v>1300</v>
      </c>
      <c r="K414" s="19" t="s">
        <v>1308</v>
      </c>
      <c r="L414" s="19" t="s">
        <v>1285</v>
      </c>
      <c r="M414" s="21">
        <v>20340</v>
      </c>
    </row>
    <row r="415" spans="1:13" ht="60" x14ac:dyDescent="0.25">
      <c r="A415" s="17" t="str">
        <f>HYPERLINK("https://my.zakupki.prom.ua/remote/dispatcher/state_purchase_view/45082620", "UA-2023-09-11-008679-a")</f>
        <v>UA-2023-09-11-008679-a</v>
      </c>
      <c r="B415" s="19" t="s">
        <v>1226</v>
      </c>
      <c r="C415" s="19" t="s">
        <v>1253</v>
      </c>
      <c r="D415" s="13" t="s">
        <v>295</v>
      </c>
      <c r="E415" s="20">
        <v>45173</v>
      </c>
      <c r="F415" s="19" t="s">
        <v>1331</v>
      </c>
      <c r="G415" s="62" t="s">
        <v>1343</v>
      </c>
      <c r="H415" s="19" t="s">
        <v>50</v>
      </c>
      <c r="I415" s="19" t="s">
        <v>51</v>
      </c>
      <c r="J415" s="19" t="s">
        <v>1299</v>
      </c>
      <c r="K415" s="19" t="s">
        <v>536</v>
      </c>
      <c r="L415" s="19" t="s">
        <v>1283</v>
      </c>
      <c r="M415" s="21">
        <v>567960</v>
      </c>
    </row>
    <row r="416" spans="1:13" ht="60" x14ac:dyDescent="0.25">
      <c r="A416" s="17" t="str">
        <f>HYPERLINK("https://my.zakupki.prom.ua/remote/dispatcher/state_purchase_view/45069678", "UA-2023-09-11-002920-a")</f>
        <v>UA-2023-09-11-002920-a</v>
      </c>
      <c r="B416" s="19" t="s">
        <v>1227</v>
      </c>
      <c r="C416" s="19" t="s">
        <v>1254</v>
      </c>
      <c r="D416" s="13" t="s">
        <v>295</v>
      </c>
      <c r="E416" s="20">
        <v>45173</v>
      </c>
      <c r="F416" s="19" t="s">
        <v>1332</v>
      </c>
      <c r="G416" s="62">
        <v>117693</v>
      </c>
      <c r="H416" s="19" t="s">
        <v>50</v>
      </c>
      <c r="I416" s="19" t="s">
        <v>51</v>
      </c>
      <c r="J416" s="19" t="s">
        <v>1300</v>
      </c>
      <c r="K416" s="19" t="s">
        <v>1308</v>
      </c>
      <c r="L416" s="19" t="s">
        <v>1284</v>
      </c>
      <c r="M416" s="21">
        <v>17460</v>
      </c>
    </row>
    <row r="417" spans="1:13" ht="60" x14ac:dyDescent="0.25">
      <c r="A417" s="17" t="str">
        <f>HYPERLINK("https://my.zakupki.prom.ua/remote/dispatcher/state_purchase_view/45066963", "UA-2023-09-11-001755-a")</f>
        <v>UA-2023-09-11-001755-a</v>
      </c>
      <c r="B417" s="19" t="s">
        <v>767</v>
      </c>
      <c r="C417" s="19" t="s">
        <v>766</v>
      </c>
      <c r="D417" s="13" t="s">
        <v>225</v>
      </c>
      <c r="E417" s="20">
        <v>45173</v>
      </c>
      <c r="F417" s="19" t="s">
        <v>1336</v>
      </c>
      <c r="G417" s="62">
        <v>117693</v>
      </c>
      <c r="H417" s="19" t="s">
        <v>50</v>
      </c>
      <c r="I417" s="19" t="s">
        <v>51</v>
      </c>
      <c r="J417" s="19" t="s">
        <v>1302</v>
      </c>
      <c r="K417" s="19" t="s">
        <v>1309</v>
      </c>
      <c r="L417" s="19" t="s">
        <v>1287</v>
      </c>
      <c r="M417" s="21">
        <v>24000</v>
      </c>
    </row>
    <row r="418" spans="1:13" ht="60" x14ac:dyDescent="0.25">
      <c r="A418" s="17" t="str">
        <f>HYPERLINK("https://my.zakupki.prom.ua/remote/dispatcher/state_purchase_view/45067340", "UA-2023-09-11-001859-a")</f>
        <v>UA-2023-09-11-001859-a</v>
      </c>
      <c r="B418" s="19" t="s">
        <v>426</v>
      </c>
      <c r="C418" s="19" t="s">
        <v>1257</v>
      </c>
      <c r="D418" s="13" t="s">
        <v>295</v>
      </c>
      <c r="E418" s="20">
        <v>45173</v>
      </c>
      <c r="F418" s="19" t="s">
        <v>1335</v>
      </c>
      <c r="G418" s="62">
        <v>117693</v>
      </c>
      <c r="H418" s="19" t="s">
        <v>50</v>
      </c>
      <c r="I418" s="19" t="s">
        <v>51</v>
      </c>
      <c r="J418" s="19" t="s">
        <v>1301</v>
      </c>
      <c r="K418" s="19" t="s">
        <v>1060</v>
      </c>
      <c r="L418" s="19" t="s">
        <v>1286</v>
      </c>
      <c r="M418" s="21">
        <v>9450</v>
      </c>
    </row>
    <row r="419" spans="1:13" ht="90" x14ac:dyDescent="0.25">
      <c r="A419" s="17" t="str">
        <f>HYPERLINK("https://my.zakupki.prom.ua/remote/dispatcher/state_purchase_view/45206317", "UA-2023-09-15-004637-a")</f>
        <v>UA-2023-09-15-004637-a</v>
      </c>
      <c r="B419" s="19" t="s">
        <v>1225</v>
      </c>
      <c r="C419" s="19" t="s">
        <v>1252</v>
      </c>
      <c r="D419" s="13" t="s">
        <v>295</v>
      </c>
      <c r="E419" s="20">
        <v>45181</v>
      </c>
      <c r="F419" s="19" t="s">
        <v>1330</v>
      </c>
      <c r="G419" s="62">
        <v>110150</v>
      </c>
      <c r="H419" s="19" t="s">
        <v>50</v>
      </c>
      <c r="I419" s="19" t="s">
        <v>51</v>
      </c>
      <c r="J419" s="19" t="s">
        <v>581</v>
      </c>
      <c r="K419" s="19" t="s">
        <v>268</v>
      </c>
      <c r="L419" s="19" t="s">
        <v>1282</v>
      </c>
      <c r="M419" s="21">
        <v>6319.8</v>
      </c>
    </row>
    <row r="420" spans="1:13" ht="120" x14ac:dyDescent="0.25">
      <c r="A420" s="17" t="str">
        <f>HYPERLINK("https://my.zakupki.prom.ua/remote/dispatcher/state_purchase_view/45214366", "UA-2023-09-15-008309-a")</f>
        <v>UA-2023-09-15-008309-a</v>
      </c>
      <c r="B420" s="19" t="s">
        <v>34</v>
      </c>
      <c r="C420" s="19" t="s">
        <v>1247</v>
      </c>
      <c r="D420" s="13" t="s">
        <v>295</v>
      </c>
      <c r="E420" s="20">
        <v>45181</v>
      </c>
      <c r="F420" s="19" t="s">
        <v>1325</v>
      </c>
      <c r="G420" s="62">
        <v>110150</v>
      </c>
      <c r="H420" s="19" t="s">
        <v>50</v>
      </c>
      <c r="I420" s="19" t="s">
        <v>51</v>
      </c>
      <c r="J420" s="19" t="s">
        <v>67</v>
      </c>
      <c r="K420" s="19" t="s">
        <v>68</v>
      </c>
      <c r="L420" s="19" t="s">
        <v>1277</v>
      </c>
      <c r="M420" s="21">
        <v>1462</v>
      </c>
    </row>
    <row r="421" spans="1:13" ht="135" x14ac:dyDescent="0.25">
      <c r="A421" s="17" t="str">
        <f>HYPERLINK("https://my.zakupki.prom.ua/remote/dispatcher/state_purchase_view/45212847", "UA-2023-09-15-007575-a")</f>
        <v>UA-2023-09-15-007575-a</v>
      </c>
      <c r="B421" s="19" t="s">
        <v>33</v>
      </c>
      <c r="C421" s="19" t="s">
        <v>1248</v>
      </c>
      <c r="D421" s="13" t="s">
        <v>295</v>
      </c>
      <c r="E421" s="20">
        <v>45181</v>
      </c>
      <c r="F421" s="19" t="s">
        <v>1326</v>
      </c>
      <c r="G421" s="62">
        <v>110150</v>
      </c>
      <c r="H421" s="19" t="s">
        <v>50</v>
      </c>
      <c r="I421" s="19" t="s">
        <v>51</v>
      </c>
      <c r="J421" s="19" t="s">
        <v>67</v>
      </c>
      <c r="K421" s="19" t="s">
        <v>68</v>
      </c>
      <c r="L421" s="19" t="s">
        <v>1278</v>
      </c>
      <c r="M421" s="21">
        <v>4250</v>
      </c>
    </row>
    <row r="422" spans="1:13" ht="90" x14ac:dyDescent="0.25">
      <c r="A422" s="17" t="str">
        <f>HYPERLINK("https://my.zakupki.prom.ua/remote/dispatcher/state_purchase_view/45207697", "UA-2023-09-15-005226-a")</f>
        <v>UA-2023-09-15-005226-a</v>
      </c>
      <c r="B422" s="19" t="s">
        <v>32</v>
      </c>
      <c r="C422" s="19" t="s">
        <v>1250</v>
      </c>
      <c r="D422" s="13" t="s">
        <v>295</v>
      </c>
      <c r="E422" s="20">
        <v>45181</v>
      </c>
      <c r="F422" s="19" t="s">
        <v>1328</v>
      </c>
      <c r="G422" s="62">
        <v>110150</v>
      </c>
      <c r="H422" s="19" t="s">
        <v>50</v>
      </c>
      <c r="I422" s="19" t="s">
        <v>51</v>
      </c>
      <c r="J422" s="19" t="s">
        <v>67</v>
      </c>
      <c r="K422" s="19" t="s">
        <v>68</v>
      </c>
      <c r="L422" s="19" t="s">
        <v>1280</v>
      </c>
      <c r="M422" s="21">
        <v>905</v>
      </c>
    </row>
    <row r="423" spans="1:13" ht="60" x14ac:dyDescent="0.25">
      <c r="A423" s="17" t="str">
        <f>HYPERLINK("https://my.zakupki.prom.ua/remote/dispatcher/state_purchase_view/45207868", "UA-2023-09-15-005358-a")</f>
        <v>UA-2023-09-15-005358-a</v>
      </c>
      <c r="B423" s="19" t="s">
        <v>20</v>
      </c>
      <c r="C423" s="19" t="s">
        <v>1249</v>
      </c>
      <c r="D423" s="13" t="s">
        <v>295</v>
      </c>
      <c r="E423" s="20">
        <v>45181</v>
      </c>
      <c r="F423" s="19" t="s">
        <v>1327</v>
      </c>
      <c r="G423" s="62">
        <v>110150</v>
      </c>
      <c r="H423" s="19" t="s">
        <v>50</v>
      </c>
      <c r="I423" s="19" t="s">
        <v>51</v>
      </c>
      <c r="J423" s="19" t="s">
        <v>67</v>
      </c>
      <c r="K423" s="19" t="s">
        <v>68</v>
      </c>
      <c r="L423" s="19" t="s">
        <v>1279</v>
      </c>
      <c r="M423" s="21">
        <v>360</v>
      </c>
    </row>
    <row r="424" spans="1:13" ht="195" x14ac:dyDescent="0.25">
      <c r="A424" s="17" t="str">
        <f>HYPERLINK("https://my.zakupki.prom.ua/remote/dispatcher/state_purchase_view/45207138", "UA-2023-09-15-005019-a")</f>
        <v>UA-2023-09-15-005019-a</v>
      </c>
      <c r="B424" s="19" t="s">
        <v>37</v>
      </c>
      <c r="C424" s="19" t="s">
        <v>1251</v>
      </c>
      <c r="D424" s="13" t="s">
        <v>295</v>
      </c>
      <c r="E424" s="20">
        <v>45181</v>
      </c>
      <c r="F424" s="19" t="s">
        <v>1329</v>
      </c>
      <c r="G424" s="62">
        <v>110150</v>
      </c>
      <c r="H424" s="19" t="s">
        <v>50</v>
      </c>
      <c r="I424" s="19" t="s">
        <v>51</v>
      </c>
      <c r="J424" s="19" t="s">
        <v>67</v>
      </c>
      <c r="K424" s="19" t="s">
        <v>68</v>
      </c>
      <c r="L424" s="19" t="s">
        <v>1281</v>
      </c>
      <c r="M424" s="21">
        <v>5473</v>
      </c>
    </row>
    <row r="425" spans="1:13" ht="180" x14ac:dyDescent="0.25">
      <c r="A425" s="17" t="str">
        <f>HYPERLINK("https://my.zakupki.prom.ua/remote/dispatcher/state_purchase_view/45249932", "UA-2023-09-18-009522-a")</f>
        <v>UA-2023-09-18-009522-a</v>
      </c>
      <c r="B425" s="19" t="s">
        <v>1224</v>
      </c>
      <c r="C425" s="19" t="s">
        <v>1246</v>
      </c>
      <c r="D425" s="13" t="s">
        <v>225</v>
      </c>
      <c r="E425" s="20">
        <v>45184</v>
      </c>
      <c r="F425" s="19" t="s">
        <v>1324</v>
      </c>
      <c r="G425" s="62">
        <v>117693</v>
      </c>
      <c r="H425" s="19" t="s">
        <v>50</v>
      </c>
      <c r="I425" s="19" t="s">
        <v>51</v>
      </c>
      <c r="J425" s="19" t="s">
        <v>1298</v>
      </c>
      <c r="K425" s="19" t="s">
        <v>1307</v>
      </c>
      <c r="L425" s="19" t="s">
        <v>1276</v>
      </c>
      <c r="M425" s="21">
        <v>128295.6</v>
      </c>
    </row>
    <row r="426" spans="1:13" ht="150" x14ac:dyDescent="0.25">
      <c r="A426" s="17" t="str">
        <f>HYPERLINK("https://my.zakupki.prom.ua/remote/dispatcher/state_purchase_view/45497264", "UA-2023-09-27-013279-a")</f>
        <v>UA-2023-09-27-013279-a</v>
      </c>
      <c r="B426" s="19" t="s">
        <v>31</v>
      </c>
      <c r="C426" s="19" t="s">
        <v>1240</v>
      </c>
      <c r="D426" s="13" t="s">
        <v>225</v>
      </c>
      <c r="E426" s="20">
        <v>45187</v>
      </c>
      <c r="F426" s="19" t="s">
        <v>1318</v>
      </c>
      <c r="G426" s="62">
        <v>118230</v>
      </c>
      <c r="H426" s="19" t="s">
        <v>50</v>
      </c>
      <c r="I426" s="19" t="s">
        <v>51</v>
      </c>
      <c r="J426" s="19" t="s">
        <v>590</v>
      </c>
      <c r="K426" s="19" t="s">
        <v>355</v>
      </c>
      <c r="L426" s="19" t="s">
        <v>1271</v>
      </c>
      <c r="M426" s="21">
        <v>42195</v>
      </c>
    </row>
    <row r="427" spans="1:13" ht="135" x14ac:dyDescent="0.25">
      <c r="A427" s="17" t="str">
        <f>HYPERLINK("https://my.zakupki.prom.ua/remote/dispatcher/state_purchase_view/44896973", "UA-2023-09-01-010049-a")</f>
        <v>UA-2023-09-01-010049-a</v>
      </c>
      <c r="B427" s="19" t="s">
        <v>1228</v>
      </c>
      <c r="C427" s="19" t="s">
        <v>1258</v>
      </c>
      <c r="D427" s="13" t="s">
        <v>845</v>
      </c>
      <c r="E427" s="20">
        <v>45190</v>
      </c>
      <c r="F427" s="19" t="s">
        <v>1337</v>
      </c>
      <c r="G427" s="62">
        <v>110150</v>
      </c>
      <c r="H427" s="19" t="s">
        <v>50</v>
      </c>
      <c r="I427" s="19" t="s">
        <v>51</v>
      </c>
      <c r="J427" s="19" t="s">
        <v>1303</v>
      </c>
      <c r="K427" s="19" t="s">
        <v>1310</v>
      </c>
      <c r="L427" s="19" t="s">
        <v>1288</v>
      </c>
      <c r="M427" s="21">
        <v>719000</v>
      </c>
    </row>
    <row r="428" spans="1:13" ht="90" x14ac:dyDescent="0.25">
      <c r="A428" s="17" t="str">
        <f>HYPERLINK("https://my.zakupki.prom.ua/remote/dispatcher/state_purchase_view/45427750", "UA-2023-09-25-012395-a")</f>
        <v>UA-2023-09-25-012395-a</v>
      </c>
      <c r="B428" s="19" t="s">
        <v>413</v>
      </c>
      <c r="C428" s="19" t="s">
        <v>1245</v>
      </c>
      <c r="D428" s="13" t="s">
        <v>295</v>
      </c>
      <c r="E428" s="20">
        <v>45191</v>
      </c>
      <c r="F428" s="19" t="s">
        <v>1323</v>
      </c>
      <c r="G428" s="62">
        <v>118240</v>
      </c>
      <c r="H428" s="19" t="s">
        <v>50</v>
      </c>
      <c r="I428" s="19" t="s">
        <v>51</v>
      </c>
      <c r="J428" s="19" t="s">
        <v>1297</v>
      </c>
      <c r="K428" s="19" t="s">
        <v>1356</v>
      </c>
      <c r="L428" s="19" t="s">
        <v>1120</v>
      </c>
      <c r="M428" s="21">
        <v>30000</v>
      </c>
    </row>
    <row r="429" spans="1:13" ht="60" x14ac:dyDescent="0.25">
      <c r="A429" s="17" t="str">
        <f>HYPERLINK("https://my.zakupki.prom.ua/remote/dispatcher/state_purchase_view/45463566", "UA-2023-09-26-013653-a")</f>
        <v>UA-2023-09-26-013653-a</v>
      </c>
      <c r="B429" s="19" t="s">
        <v>1223</v>
      </c>
      <c r="C429" s="19" t="s">
        <v>1243</v>
      </c>
      <c r="D429" s="13" t="s">
        <v>295</v>
      </c>
      <c r="E429" s="20">
        <v>45191</v>
      </c>
      <c r="F429" s="19" t="s">
        <v>1321</v>
      </c>
      <c r="G429" s="62">
        <v>118220</v>
      </c>
      <c r="H429" s="19" t="s">
        <v>50</v>
      </c>
      <c r="I429" s="19" t="s">
        <v>51</v>
      </c>
      <c r="J429" s="19" t="s">
        <v>143</v>
      </c>
      <c r="K429" s="19" t="s">
        <v>1355</v>
      </c>
      <c r="L429" s="19" t="s">
        <v>1274</v>
      </c>
      <c r="M429" s="21">
        <v>1260</v>
      </c>
    </row>
    <row r="430" spans="1:13" ht="75" x14ac:dyDescent="0.25">
      <c r="A430" s="17" t="str">
        <f>HYPERLINK("https://my.zakupki.prom.ua/remote/dispatcher/state_purchase_view/45463061", "UA-2023-09-26-013440-a")</f>
        <v>UA-2023-09-26-013440-a</v>
      </c>
      <c r="B430" s="19" t="s">
        <v>38</v>
      </c>
      <c r="C430" s="19" t="s">
        <v>1244</v>
      </c>
      <c r="D430" s="13" t="s">
        <v>295</v>
      </c>
      <c r="E430" s="20">
        <v>45191</v>
      </c>
      <c r="F430" s="19" t="s">
        <v>1322</v>
      </c>
      <c r="G430" s="62">
        <v>110150</v>
      </c>
      <c r="H430" s="19" t="s">
        <v>50</v>
      </c>
      <c r="I430" s="19" t="s">
        <v>51</v>
      </c>
      <c r="J430" s="19" t="s">
        <v>77</v>
      </c>
      <c r="K430" s="19" t="s">
        <v>78</v>
      </c>
      <c r="L430" s="19" t="s">
        <v>1275</v>
      </c>
      <c r="M430" s="21">
        <v>31706.639999999999</v>
      </c>
    </row>
    <row r="431" spans="1:13" ht="60" x14ac:dyDescent="0.25">
      <c r="A431" s="17" t="str">
        <f>HYPERLINK("https://my.zakupki.prom.ua/remote/dispatcher/state_purchase_view/45464695", "UA-2023-09-26-014147-a")</f>
        <v>UA-2023-09-26-014147-a</v>
      </c>
      <c r="B431" s="19" t="s">
        <v>623</v>
      </c>
      <c r="C431" s="19" t="s">
        <v>1241</v>
      </c>
      <c r="D431" s="13" t="s">
        <v>295</v>
      </c>
      <c r="E431" s="20">
        <v>45191</v>
      </c>
      <c r="F431" s="19" t="s">
        <v>1319</v>
      </c>
      <c r="G431" s="62">
        <v>110150</v>
      </c>
      <c r="H431" s="19" t="s">
        <v>50</v>
      </c>
      <c r="I431" s="19" t="s">
        <v>51</v>
      </c>
      <c r="J431" s="19" t="s">
        <v>1295</v>
      </c>
      <c r="K431" s="19" t="s">
        <v>1306</v>
      </c>
      <c r="L431" s="19" t="s">
        <v>1272</v>
      </c>
      <c r="M431" s="21">
        <v>34500</v>
      </c>
    </row>
    <row r="432" spans="1:13" ht="60" x14ac:dyDescent="0.25">
      <c r="A432" s="17" t="str">
        <f>HYPERLINK("https://my.zakupki.prom.ua/remote/dispatcher/state_purchase_view/45463979", "UA-2023-09-26-013796-a")</f>
        <v>UA-2023-09-26-013796-a</v>
      </c>
      <c r="B432" s="19" t="s">
        <v>1031</v>
      </c>
      <c r="C432" s="19" t="s">
        <v>1242</v>
      </c>
      <c r="D432" s="13" t="s">
        <v>295</v>
      </c>
      <c r="E432" s="20">
        <v>45191</v>
      </c>
      <c r="F432" s="19" t="s">
        <v>1320</v>
      </c>
      <c r="G432" s="62">
        <v>110150</v>
      </c>
      <c r="H432" s="19" t="s">
        <v>50</v>
      </c>
      <c r="I432" s="19" t="s">
        <v>51</v>
      </c>
      <c r="J432" s="19" t="s">
        <v>1296</v>
      </c>
      <c r="K432" s="19" t="s">
        <v>1071</v>
      </c>
      <c r="L432" s="19" t="s">
        <v>1273</v>
      </c>
      <c r="M432" s="21">
        <v>42000</v>
      </c>
    </row>
    <row r="433" spans="1:13" ht="105" x14ac:dyDescent="0.25">
      <c r="A433" s="17" t="str">
        <f>HYPERLINK("https://my.zakupki.prom.ua/remote/dispatcher/state_purchase_view/45587103", "UA-2023-10-03-001072-a")</f>
        <v>UA-2023-10-03-001072-a</v>
      </c>
      <c r="B433" s="19" t="s">
        <v>45</v>
      </c>
      <c r="C433" s="19" t="s">
        <v>1234</v>
      </c>
      <c r="D433" s="13" t="s">
        <v>225</v>
      </c>
      <c r="E433" s="20">
        <v>45191</v>
      </c>
      <c r="F433" s="19" t="s">
        <v>1312</v>
      </c>
      <c r="G433" s="62">
        <v>118230</v>
      </c>
      <c r="H433" s="19" t="s">
        <v>50</v>
      </c>
      <c r="I433" s="19" t="s">
        <v>51</v>
      </c>
      <c r="J433" s="19" t="s">
        <v>91</v>
      </c>
      <c r="K433" s="19" t="s">
        <v>92</v>
      </c>
      <c r="L433" s="19" t="s">
        <v>1265</v>
      </c>
      <c r="M433" s="21">
        <v>1338425.76</v>
      </c>
    </row>
    <row r="434" spans="1:13" ht="165" x14ac:dyDescent="0.25">
      <c r="A434" s="17" t="str">
        <f>HYPERLINK("https://my.zakupki.prom.ua/remote/dispatcher/state_purchase_view/45586471", "UA-2023-10-03-000818-a")</f>
        <v>UA-2023-10-03-000818-a</v>
      </c>
      <c r="B434" s="19" t="s">
        <v>31</v>
      </c>
      <c r="C434" s="19" t="s">
        <v>1235</v>
      </c>
      <c r="D434" s="13" t="s">
        <v>225</v>
      </c>
      <c r="E434" s="20">
        <v>45191</v>
      </c>
      <c r="F434" s="19" t="s">
        <v>1313</v>
      </c>
      <c r="G434" s="62">
        <v>118230</v>
      </c>
      <c r="H434" s="19" t="s">
        <v>50</v>
      </c>
      <c r="I434" s="19" t="s">
        <v>51</v>
      </c>
      <c r="J434" s="19" t="s">
        <v>69</v>
      </c>
      <c r="K434" s="19" t="s">
        <v>70</v>
      </c>
      <c r="L434" s="19" t="s">
        <v>1266</v>
      </c>
      <c r="M434" s="21">
        <v>18983.11</v>
      </c>
    </row>
    <row r="435" spans="1:13" s="4" customFormat="1" ht="96" customHeight="1" x14ac:dyDescent="0.25">
      <c r="A435" s="12" t="s">
        <v>1344</v>
      </c>
      <c r="B435" s="12" t="s">
        <v>45</v>
      </c>
      <c r="C435" s="12" t="s">
        <v>1148</v>
      </c>
      <c r="D435" s="13" t="s">
        <v>225</v>
      </c>
      <c r="E435" s="14">
        <v>45162</v>
      </c>
      <c r="F435" s="6">
        <v>435</v>
      </c>
      <c r="G435" s="39">
        <v>118230</v>
      </c>
      <c r="H435" s="17" t="s">
        <v>50</v>
      </c>
      <c r="I435" s="12" t="s">
        <v>51</v>
      </c>
      <c r="J435" s="6">
        <v>33909174</v>
      </c>
      <c r="K435" s="12" t="s">
        <v>1149</v>
      </c>
      <c r="L435" s="12" t="s">
        <v>1147</v>
      </c>
      <c r="M435" s="13">
        <v>2598514.4500000002</v>
      </c>
    </row>
    <row r="436" spans="1:13" ht="240" x14ac:dyDescent="0.25">
      <c r="A436" s="17" t="str">
        <f>HYPERLINK("https://my.zakupki.prom.ua/remote/dispatcher/state_purchase_view/45529729", "UA-2023-09-29-000269-a")</f>
        <v>UA-2023-09-29-000269-a</v>
      </c>
      <c r="B436" s="19" t="s">
        <v>1221</v>
      </c>
      <c r="C436" s="19" t="s">
        <v>1239</v>
      </c>
      <c r="D436" s="13" t="s">
        <v>225</v>
      </c>
      <c r="E436" s="20">
        <v>45197</v>
      </c>
      <c r="F436" s="19" t="s">
        <v>1317</v>
      </c>
      <c r="G436" s="62">
        <v>117630</v>
      </c>
      <c r="H436" s="19" t="s">
        <v>50</v>
      </c>
      <c r="I436" s="19" t="s">
        <v>51</v>
      </c>
      <c r="J436" s="19" t="s">
        <v>1294</v>
      </c>
      <c r="K436" s="19" t="s">
        <v>1305</v>
      </c>
      <c r="L436" s="19" t="s">
        <v>1270</v>
      </c>
      <c r="M436" s="21">
        <v>60000</v>
      </c>
    </row>
    <row r="437" spans="1:13" s="4" customFormat="1" ht="96.75" customHeight="1" x14ac:dyDescent="0.25">
      <c r="A437" s="12" t="s">
        <v>1345</v>
      </c>
      <c r="B437" s="12" t="s">
        <v>31</v>
      </c>
      <c r="C437" s="12" t="s">
        <v>1185</v>
      </c>
      <c r="D437" s="13" t="s">
        <v>225</v>
      </c>
      <c r="E437" s="14">
        <v>45166</v>
      </c>
      <c r="F437" s="6">
        <v>437</v>
      </c>
      <c r="G437" s="39">
        <v>118230</v>
      </c>
      <c r="H437" s="17" t="s">
        <v>50</v>
      </c>
      <c r="I437" s="12" t="s">
        <v>51</v>
      </c>
      <c r="J437" s="6">
        <v>2461019017</v>
      </c>
      <c r="K437" s="12" t="s">
        <v>70</v>
      </c>
      <c r="L437" s="12" t="s">
        <v>1184</v>
      </c>
      <c r="M437" s="21">
        <v>23621.7</v>
      </c>
    </row>
    <row r="438" spans="1:13" s="4" customFormat="1" ht="92.25" customHeight="1" x14ac:dyDescent="0.25">
      <c r="A438" s="60" t="s">
        <v>1214</v>
      </c>
      <c r="B438" s="17" t="s">
        <v>45</v>
      </c>
      <c r="C438" s="17" t="s">
        <v>739</v>
      </c>
      <c r="D438" s="13" t="s">
        <v>225</v>
      </c>
      <c r="E438" s="22">
        <v>45068</v>
      </c>
      <c r="F438" s="23">
        <v>438</v>
      </c>
      <c r="G438" s="40">
        <v>118230</v>
      </c>
      <c r="H438" s="17">
        <v>4054334</v>
      </c>
      <c r="I438" s="17" t="s">
        <v>51</v>
      </c>
      <c r="J438" s="23" t="s">
        <v>693</v>
      </c>
      <c r="K438" s="17" t="s">
        <v>692</v>
      </c>
      <c r="L438" s="17" t="s">
        <v>738</v>
      </c>
      <c r="M438" s="21">
        <v>2571498.2599999998</v>
      </c>
    </row>
    <row r="439" spans="1:13" ht="135" x14ac:dyDescent="0.25">
      <c r="A439" s="17" t="str">
        <f>HYPERLINK("https://my.zakupki.prom.ua/remote/dispatcher/state_purchase_view/45548727", "UA-2023-09-29-008958-a")</f>
        <v>UA-2023-09-29-008958-a</v>
      </c>
      <c r="B439" s="19" t="s">
        <v>730</v>
      </c>
      <c r="C439" s="19" t="s">
        <v>1236</v>
      </c>
      <c r="D439" s="37" t="s">
        <v>1098</v>
      </c>
      <c r="E439" s="20">
        <v>45198</v>
      </c>
      <c r="F439" s="19" t="s">
        <v>1314</v>
      </c>
      <c r="G439" s="62">
        <v>110180</v>
      </c>
      <c r="H439" s="19" t="s">
        <v>50</v>
      </c>
      <c r="I439" s="19" t="s">
        <v>51</v>
      </c>
      <c r="J439" s="19" t="s">
        <v>1292</v>
      </c>
      <c r="K439" s="64" t="s">
        <v>1354</v>
      </c>
      <c r="L439" s="19" t="s">
        <v>1267</v>
      </c>
      <c r="M439" s="21">
        <v>31000</v>
      </c>
    </row>
    <row r="440" spans="1:13" ht="90" x14ac:dyDescent="0.25">
      <c r="A440" s="17" t="str">
        <f>HYPERLINK("https://my.zakupki.prom.ua/remote/dispatcher/state_purchase_view/45547751", "UA-2023-09-29-008475-a")</f>
        <v>UA-2023-09-29-008475-a</v>
      </c>
      <c r="B440" s="19" t="s">
        <v>52</v>
      </c>
      <c r="C440" s="19" t="s">
        <v>1238</v>
      </c>
      <c r="D440" s="13" t="s">
        <v>295</v>
      </c>
      <c r="E440" s="20">
        <v>45198</v>
      </c>
      <c r="F440" s="19" t="s">
        <v>1316</v>
      </c>
      <c r="G440" s="62">
        <v>118230</v>
      </c>
      <c r="H440" s="19" t="s">
        <v>50</v>
      </c>
      <c r="I440" s="19" t="s">
        <v>51</v>
      </c>
      <c r="J440" s="19" t="s">
        <v>1293</v>
      </c>
      <c r="K440" s="19" t="s">
        <v>1059</v>
      </c>
      <c r="L440" s="19" t="s">
        <v>1269</v>
      </c>
      <c r="M440" s="21">
        <v>3000</v>
      </c>
    </row>
    <row r="441" spans="1:13" ht="60" x14ac:dyDescent="0.25">
      <c r="A441" s="17" t="str">
        <f>HYPERLINK("https://my.zakupki.prom.ua/remote/dispatcher/state_purchase_view/45547962", "UA-2023-09-29-008624-a")</f>
        <v>UA-2023-09-29-008624-a</v>
      </c>
      <c r="B441" s="19" t="s">
        <v>434</v>
      </c>
      <c r="C441" s="19" t="s">
        <v>1237</v>
      </c>
      <c r="D441" s="13" t="s">
        <v>295</v>
      </c>
      <c r="E441" s="20">
        <v>45198</v>
      </c>
      <c r="F441" s="19" t="s">
        <v>1315</v>
      </c>
      <c r="G441" s="62">
        <v>117693</v>
      </c>
      <c r="H441" s="19" t="s">
        <v>50</v>
      </c>
      <c r="I441" s="19" t="s">
        <v>51</v>
      </c>
      <c r="J441" s="19" t="s">
        <v>581</v>
      </c>
      <c r="K441" s="19" t="s">
        <v>268</v>
      </c>
      <c r="L441" s="19" t="s">
        <v>1268</v>
      </c>
      <c r="M441" s="21">
        <v>30780</v>
      </c>
    </row>
    <row r="442" spans="1:13" s="4" customFormat="1" ht="154.5" customHeight="1" x14ac:dyDescent="0.25">
      <c r="A442" s="17" t="s">
        <v>1347</v>
      </c>
      <c r="B442" s="17" t="s">
        <v>31</v>
      </c>
      <c r="C442" s="17" t="s">
        <v>735</v>
      </c>
      <c r="D442" s="13" t="s">
        <v>225</v>
      </c>
      <c r="E442" s="22">
        <v>45068</v>
      </c>
      <c r="F442" s="23">
        <v>442</v>
      </c>
      <c r="G442" s="40">
        <v>118230</v>
      </c>
      <c r="H442" s="17">
        <v>4054334</v>
      </c>
      <c r="I442" s="17" t="s">
        <v>51</v>
      </c>
      <c r="J442" s="23" t="s">
        <v>701</v>
      </c>
      <c r="K442" s="30" t="s">
        <v>1353</v>
      </c>
      <c r="L442" s="17" t="s">
        <v>734</v>
      </c>
      <c r="M442" s="21">
        <v>36748.120000000003</v>
      </c>
    </row>
    <row r="443" spans="1:13" s="4" customFormat="1" ht="109.5" customHeight="1" x14ac:dyDescent="0.25">
      <c r="A443" s="12" t="s">
        <v>1346</v>
      </c>
      <c r="B443" s="12" t="s">
        <v>362</v>
      </c>
      <c r="C443" s="12" t="s">
        <v>1171</v>
      </c>
      <c r="D443" s="13" t="s">
        <v>225</v>
      </c>
      <c r="E443" s="14">
        <v>45163</v>
      </c>
      <c r="F443" s="6">
        <v>443</v>
      </c>
      <c r="G443" s="39">
        <v>118230</v>
      </c>
      <c r="H443" s="17" t="s">
        <v>50</v>
      </c>
      <c r="I443" s="12" t="s">
        <v>51</v>
      </c>
      <c r="J443" s="6">
        <v>2984509254</v>
      </c>
      <c r="K443" s="12" t="s">
        <v>363</v>
      </c>
      <c r="L443" s="12" t="s">
        <v>1170</v>
      </c>
      <c r="M443" s="21">
        <v>965059.86</v>
      </c>
    </row>
    <row r="444" spans="1:13" s="4" customFormat="1" ht="169.5" customHeight="1" x14ac:dyDescent="0.25">
      <c r="A444" s="12" t="s">
        <v>1348</v>
      </c>
      <c r="B444" s="12" t="s">
        <v>378</v>
      </c>
      <c r="C444" s="12" t="s">
        <v>1189</v>
      </c>
      <c r="D444" s="13" t="s">
        <v>225</v>
      </c>
      <c r="E444" s="14">
        <v>45166</v>
      </c>
      <c r="F444" s="6">
        <v>444</v>
      </c>
      <c r="G444" s="39">
        <v>118230</v>
      </c>
      <c r="H444" s="17" t="s">
        <v>50</v>
      </c>
      <c r="I444" s="12" t="s">
        <v>51</v>
      </c>
      <c r="J444" s="6">
        <v>42327128</v>
      </c>
      <c r="K444" s="12" t="s">
        <v>1190</v>
      </c>
      <c r="L444" s="12" t="s">
        <v>1188</v>
      </c>
      <c r="M444" s="21">
        <v>1394230.8</v>
      </c>
    </row>
    <row r="445" spans="1:13" s="4" customFormat="1" ht="114.75" customHeight="1" x14ac:dyDescent="0.25">
      <c r="A445" s="12" t="s">
        <v>1349</v>
      </c>
      <c r="B445" s="12" t="s">
        <v>362</v>
      </c>
      <c r="C445" s="12" t="s">
        <v>1171</v>
      </c>
      <c r="D445" s="13" t="s">
        <v>225</v>
      </c>
      <c r="E445" s="14">
        <v>45163</v>
      </c>
      <c r="F445" s="6">
        <v>445</v>
      </c>
      <c r="G445" s="39">
        <v>118230</v>
      </c>
      <c r="H445" s="17" t="s">
        <v>50</v>
      </c>
      <c r="I445" s="12" t="s">
        <v>51</v>
      </c>
      <c r="J445" s="6">
        <v>2984509254</v>
      </c>
      <c r="K445" s="12" t="s">
        <v>363</v>
      </c>
      <c r="L445" s="12" t="s">
        <v>1170</v>
      </c>
      <c r="M445" s="21">
        <v>12083.84</v>
      </c>
    </row>
    <row r="446" spans="1:13" s="4" customFormat="1" ht="180.75" customHeight="1" x14ac:dyDescent="0.25">
      <c r="A446" s="12" t="s">
        <v>1350</v>
      </c>
      <c r="B446" s="12" t="s">
        <v>31</v>
      </c>
      <c r="C446" s="12" t="s">
        <v>1192</v>
      </c>
      <c r="D446" s="13" t="s">
        <v>225</v>
      </c>
      <c r="E446" s="14">
        <v>45166</v>
      </c>
      <c r="F446" s="6">
        <v>446</v>
      </c>
      <c r="G446" s="39">
        <v>118230</v>
      </c>
      <c r="H446" s="17" t="s">
        <v>50</v>
      </c>
      <c r="I446" s="12" t="s">
        <v>51</v>
      </c>
      <c r="J446" s="6">
        <v>2461019017</v>
      </c>
      <c r="K446" s="12" t="s">
        <v>70</v>
      </c>
      <c r="L446" s="12" t="s">
        <v>1191</v>
      </c>
      <c r="M446" s="21">
        <v>17289.310000000001</v>
      </c>
    </row>
    <row r="447" spans="1:13" ht="120" x14ac:dyDescent="0.25">
      <c r="A447" s="17" t="str">
        <f>HYPERLINK("https://my.zakupki.prom.ua/remote/dispatcher/state_purchase_view/45646627", "UA-2023-10-04-013774-a")</f>
        <v>UA-2023-10-04-013774-a</v>
      </c>
      <c r="B447" s="19" t="s">
        <v>897</v>
      </c>
      <c r="C447" s="19" t="s">
        <v>1341</v>
      </c>
      <c r="D447" s="13" t="s">
        <v>225</v>
      </c>
      <c r="E447" s="63">
        <v>45198</v>
      </c>
      <c r="F447" s="19">
        <v>447</v>
      </c>
      <c r="G447" s="17">
        <v>117700</v>
      </c>
      <c r="H447" s="19" t="s">
        <v>50</v>
      </c>
      <c r="I447" s="19" t="s">
        <v>51</v>
      </c>
      <c r="J447" s="19">
        <v>3303005281</v>
      </c>
      <c r="K447" s="19" t="s">
        <v>1351</v>
      </c>
      <c r="L447" s="19" t="s">
        <v>1263</v>
      </c>
      <c r="M447" s="21">
        <v>54840</v>
      </c>
    </row>
    <row r="448" spans="1:13" ht="165" x14ac:dyDescent="0.25">
      <c r="A448" s="17" t="str">
        <f>HYPERLINK("https://my.zakupki.prom.ua/remote/dispatcher/state_purchase_view/45646673", "UA-2023-10-04-013795-a")</f>
        <v>UA-2023-10-04-013795-a</v>
      </c>
      <c r="B448" s="19" t="s">
        <v>1221</v>
      </c>
      <c r="C448" s="19" t="s">
        <v>1232</v>
      </c>
      <c r="D448" s="13" t="s">
        <v>225</v>
      </c>
      <c r="E448" s="63">
        <v>45198</v>
      </c>
      <c r="F448" s="19">
        <v>448</v>
      </c>
      <c r="G448" s="17">
        <v>117700</v>
      </c>
      <c r="H448" s="19" t="s">
        <v>50</v>
      </c>
      <c r="I448" s="19" t="s">
        <v>51</v>
      </c>
      <c r="J448" s="19">
        <v>3303005281</v>
      </c>
      <c r="K448" s="19" t="s">
        <v>1351</v>
      </c>
      <c r="L448" s="19" t="s">
        <v>1262</v>
      </c>
      <c r="M448" s="21">
        <v>15557.76</v>
      </c>
    </row>
    <row r="449" spans="1:13" ht="135" x14ac:dyDescent="0.25">
      <c r="A449" s="17" t="str">
        <f>HYPERLINK("https://my.zakupki.prom.ua/remote/dispatcher/state_purchase_view/45646702", "UA-2023-10-04-013806-a")</f>
        <v>UA-2023-10-04-013806-a</v>
      </c>
      <c r="B449" s="19" t="s">
        <v>1220</v>
      </c>
      <c r="C449" s="19" t="s">
        <v>1231</v>
      </c>
      <c r="D449" s="13" t="s">
        <v>225</v>
      </c>
      <c r="E449" s="63">
        <v>45198</v>
      </c>
      <c r="F449" s="19">
        <v>449</v>
      </c>
      <c r="G449" s="17">
        <v>117700</v>
      </c>
      <c r="H449" s="19" t="s">
        <v>50</v>
      </c>
      <c r="I449" s="19" t="s">
        <v>51</v>
      </c>
      <c r="J449" s="19">
        <v>3303005281</v>
      </c>
      <c r="K449" s="19" t="s">
        <v>1351</v>
      </c>
      <c r="L449" s="19" t="s">
        <v>1261</v>
      </c>
      <c r="M449" s="21">
        <v>38851</v>
      </c>
    </row>
    <row r="450" spans="1:13" ht="90" x14ac:dyDescent="0.25">
      <c r="A450" s="17" t="str">
        <f>HYPERLINK("https://my.zakupki.prom.ua/remote/dispatcher/state_purchase_view/45646602", "UA-2023-10-04-013759-a")</f>
        <v>UA-2023-10-04-013759-a</v>
      </c>
      <c r="B450" s="19" t="s">
        <v>1222</v>
      </c>
      <c r="C450" s="19" t="s">
        <v>1233</v>
      </c>
      <c r="D450" s="13" t="s">
        <v>225</v>
      </c>
      <c r="E450" s="63">
        <v>45198</v>
      </c>
      <c r="F450" s="19">
        <v>450</v>
      </c>
      <c r="G450" s="17">
        <v>110180</v>
      </c>
      <c r="H450" s="19" t="s">
        <v>50</v>
      </c>
      <c r="I450" s="19" t="s">
        <v>51</v>
      </c>
      <c r="J450" s="19">
        <v>39787008</v>
      </c>
      <c r="K450" s="19" t="s">
        <v>1352</v>
      </c>
      <c r="L450" s="19" t="s">
        <v>1264</v>
      </c>
      <c r="M450" s="21">
        <v>1822.5</v>
      </c>
    </row>
    <row r="451" spans="1:13" ht="90" x14ac:dyDescent="0.25">
      <c r="A451" s="17" t="str">
        <f>HYPERLINK("https://my.zakupivli.pro/remote/dispatcher/state_purchase_view/45646566", "UA-2023-10-04-013744-a")</f>
        <v>UA-2023-10-04-013744-a</v>
      </c>
      <c r="B451" s="17" t="s">
        <v>1361</v>
      </c>
      <c r="C451" s="17" t="s">
        <v>1378</v>
      </c>
      <c r="D451" s="13" t="s">
        <v>295</v>
      </c>
      <c r="E451" s="22">
        <v>45201</v>
      </c>
      <c r="F451" s="23">
        <v>451</v>
      </c>
      <c r="G451" s="17">
        <v>118230</v>
      </c>
      <c r="H451" s="65">
        <v>4054334</v>
      </c>
      <c r="I451" s="19" t="s">
        <v>51</v>
      </c>
      <c r="J451" s="17" t="s">
        <v>99</v>
      </c>
      <c r="K451" s="17" t="s">
        <v>100</v>
      </c>
      <c r="L451" s="17" t="s">
        <v>1476</v>
      </c>
      <c r="M451" s="18">
        <v>50000</v>
      </c>
    </row>
    <row r="452" spans="1:13" s="4" customFormat="1" ht="60" x14ac:dyDescent="0.25">
      <c r="A452" s="17" t="s">
        <v>1533</v>
      </c>
      <c r="B452" s="17"/>
      <c r="C452" s="17"/>
      <c r="D452" s="13" t="s">
        <v>295</v>
      </c>
      <c r="E452" s="22">
        <v>45205</v>
      </c>
      <c r="F452" s="23">
        <v>452</v>
      </c>
      <c r="G452" s="66"/>
      <c r="H452" s="65">
        <v>4054334</v>
      </c>
      <c r="I452" s="19" t="s">
        <v>51</v>
      </c>
      <c r="J452" s="67">
        <v>2049709432</v>
      </c>
      <c r="K452" s="67" t="s">
        <v>1537</v>
      </c>
      <c r="L452" s="17"/>
      <c r="M452" s="18"/>
    </row>
    <row r="453" spans="1:13" s="4" customFormat="1" ht="30" x14ac:dyDescent="0.25">
      <c r="A453" s="17" t="s">
        <v>1534</v>
      </c>
      <c r="B453" s="17"/>
      <c r="C453" s="17"/>
      <c r="D453" s="13" t="s">
        <v>225</v>
      </c>
      <c r="E453" s="22">
        <v>45208</v>
      </c>
      <c r="F453" s="23">
        <v>453</v>
      </c>
      <c r="G453" s="17">
        <v>117640</v>
      </c>
      <c r="H453" s="65">
        <v>4054334</v>
      </c>
      <c r="I453" s="19" t="s">
        <v>51</v>
      </c>
      <c r="J453" s="17">
        <v>41490103</v>
      </c>
      <c r="K453" s="17" t="s">
        <v>1535</v>
      </c>
      <c r="L453" s="17"/>
      <c r="M453" s="18">
        <v>25716</v>
      </c>
    </row>
    <row r="454" spans="1:13" s="4" customFormat="1" ht="30" x14ac:dyDescent="0.25">
      <c r="A454" s="17" t="s">
        <v>1534</v>
      </c>
      <c r="B454" s="17"/>
      <c r="C454" s="17"/>
      <c r="D454" s="13" t="s">
        <v>225</v>
      </c>
      <c r="E454" s="22">
        <v>45208</v>
      </c>
      <c r="F454" s="23">
        <v>454</v>
      </c>
      <c r="G454" s="17">
        <v>117640</v>
      </c>
      <c r="H454" s="65">
        <v>4054334</v>
      </c>
      <c r="I454" s="19" t="s">
        <v>51</v>
      </c>
      <c r="J454" s="17">
        <v>44057260</v>
      </c>
      <c r="K454" s="17" t="s">
        <v>230</v>
      </c>
      <c r="L454" s="17"/>
      <c r="M454" s="18">
        <v>280966</v>
      </c>
    </row>
    <row r="455" spans="1:13" s="4" customFormat="1" ht="30" x14ac:dyDescent="0.25">
      <c r="A455" s="17" t="s">
        <v>1534</v>
      </c>
      <c r="B455" s="17"/>
      <c r="C455" s="17"/>
      <c r="D455" s="13" t="s">
        <v>225</v>
      </c>
      <c r="E455" s="22">
        <v>45208</v>
      </c>
      <c r="F455" s="23">
        <v>455</v>
      </c>
      <c r="G455" s="17">
        <v>117640</v>
      </c>
      <c r="H455" s="65">
        <v>4054334</v>
      </c>
      <c r="I455" s="19" t="s">
        <v>51</v>
      </c>
      <c r="J455" s="17">
        <v>40694095</v>
      </c>
      <c r="K455" s="17" t="s">
        <v>1536</v>
      </c>
      <c r="L455" s="17"/>
      <c r="M455" s="18">
        <v>21891</v>
      </c>
    </row>
    <row r="456" spans="1:13" s="4" customFormat="1" ht="120" x14ac:dyDescent="0.25">
      <c r="A456" s="17" t="s">
        <v>1567</v>
      </c>
      <c r="B456" s="17" t="s">
        <v>1565</v>
      </c>
      <c r="C456" s="17" t="s">
        <v>1566</v>
      </c>
      <c r="D456" s="13" t="s">
        <v>225</v>
      </c>
      <c r="E456" s="22">
        <v>45211</v>
      </c>
      <c r="F456" s="23">
        <v>456</v>
      </c>
      <c r="G456" s="17">
        <v>118210</v>
      </c>
      <c r="H456" s="65">
        <v>4054334</v>
      </c>
      <c r="I456" s="19" t="s">
        <v>51</v>
      </c>
      <c r="J456" s="17">
        <v>2917018638</v>
      </c>
      <c r="K456" s="17" t="s">
        <v>1568</v>
      </c>
      <c r="L456" s="17" t="s">
        <v>1564</v>
      </c>
      <c r="M456" s="18">
        <v>196930</v>
      </c>
    </row>
    <row r="457" spans="1:13" ht="60" x14ac:dyDescent="0.25">
      <c r="A457" s="17" t="str">
        <f>HYPERLINK("https://my.zakupivli.pro/remote/dispatcher/state_purchase_view/45989773", "UA-2023-10-18-014535-a")</f>
        <v>UA-2023-10-18-014535-a</v>
      </c>
      <c r="B457" s="17" t="s">
        <v>623</v>
      </c>
      <c r="C457" s="17" t="s">
        <v>1379</v>
      </c>
      <c r="D457" s="13" t="s">
        <v>295</v>
      </c>
      <c r="E457" s="22">
        <v>45217</v>
      </c>
      <c r="F457" s="23">
        <v>457</v>
      </c>
      <c r="G457" s="17">
        <v>110150</v>
      </c>
      <c r="H457" s="65">
        <v>4054334</v>
      </c>
      <c r="I457" s="19" t="s">
        <v>51</v>
      </c>
      <c r="J457" s="17" t="s">
        <v>639</v>
      </c>
      <c r="K457" s="17" t="s">
        <v>427</v>
      </c>
      <c r="L457" s="17" t="s">
        <v>1477</v>
      </c>
      <c r="M457" s="18">
        <v>10800</v>
      </c>
    </row>
    <row r="458" spans="1:13" ht="75" x14ac:dyDescent="0.25">
      <c r="A458" s="17" t="str">
        <f>HYPERLINK("https://my.zakupivli.pro/remote/dispatcher/state_purchase_view/45990082", "UA-2023-10-18-014684-a")</f>
        <v>UA-2023-10-18-014684-a</v>
      </c>
      <c r="B458" s="17" t="s">
        <v>1362</v>
      </c>
      <c r="C458" s="17" t="s">
        <v>1380</v>
      </c>
      <c r="D458" s="13" t="s">
        <v>225</v>
      </c>
      <c r="E458" s="22">
        <v>45217</v>
      </c>
      <c r="F458" s="23">
        <v>458</v>
      </c>
      <c r="G458" s="17">
        <v>110150</v>
      </c>
      <c r="H458" s="65">
        <v>4054334</v>
      </c>
      <c r="I458" s="19" t="s">
        <v>51</v>
      </c>
      <c r="J458" s="17" t="s">
        <v>1432</v>
      </c>
      <c r="K458" s="17" t="s">
        <v>1455</v>
      </c>
      <c r="L458" s="17" t="s">
        <v>1478</v>
      </c>
      <c r="M458" s="18">
        <v>34302.370000000003</v>
      </c>
    </row>
    <row r="459" spans="1:13" ht="165" x14ac:dyDescent="0.25">
      <c r="A459" s="17" t="str">
        <f>HYPERLINK("https://my.zakupivli.pro/remote/dispatcher/state_purchase_view/45989527", "UA-2023-10-18-014443-a")</f>
        <v>UA-2023-10-18-014443-a</v>
      </c>
      <c r="B459" s="17" t="s">
        <v>378</v>
      </c>
      <c r="C459" s="17" t="s">
        <v>1381</v>
      </c>
      <c r="D459" s="13" t="s">
        <v>225</v>
      </c>
      <c r="E459" s="22">
        <v>45217</v>
      </c>
      <c r="F459" s="23">
        <v>459</v>
      </c>
      <c r="G459" s="17">
        <v>118210</v>
      </c>
      <c r="H459" s="65">
        <v>4054334</v>
      </c>
      <c r="I459" s="19" t="s">
        <v>51</v>
      </c>
      <c r="J459" s="17" t="s">
        <v>75</v>
      </c>
      <c r="K459" s="17" t="s">
        <v>76</v>
      </c>
      <c r="L459" s="17" t="s">
        <v>1479</v>
      </c>
      <c r="M459" s="18">
        <v>18806.400000000001</v>
      </c>
    </row>
    <row r="460" spans="1:13" ht="60" x14ac:dyDescent="0.25">
      <c r="A460" s="17" t="str">
        <f>HYPERLINK("https://my.zakupivli.pro/remote/dispatcher/state_purchase_view/45989082", "UA-2023-10-18-014256-a")</f>
        <v>UA-2023-10-18-014256-a</v>
      </c>
      <c r="B460" s="17" t="s">
        <v>1363</v>
      </c>
      <c r="C460" s="17" t="s">
        <v>1382</v>
      </c>
      <c r="D460" s="13" t="s">
        <v>295</v>
      </c>
      <c r="E460" s="22">
        <v>45217</v>
      </c>
      <c r="F460" s="23">
        <v>460</v>
      </c>
      <c r="G460" s="17">
        <v>110150</v>
      </c>
      <c r="H460" s="65">
        <v>4054334</v>
      </c>
      <c r="I460" s="19" t="s">
        <v>51</v>
      </c>
      <c r="J460" s="17" t="s">
        <v>1433</v>
      </c>
      <c r="K460" s="17" t="s">
        <v>1456</v>
      </c>
      <c r="L460" s="17" t="s">
        <v>1480</v>
      </c>
      <c r="M460" s="18">
        <v>902</v>
      </c>
    </row>
    <row r="461" spans="1:13" ht="195" x14ac:dyDescent="0.25">
      <c r="A461" s="17" t="str">
        <f>HYPERLINK("https://my.zakupivli.pro/remote/dispatcher/state_purchase_view/45994980", "UA-2023-10-19-000375-a")</f>
        <v>UA-2023-10-19-000375-a</v>
      </c>
      <c r="B461" s="17" t="s">
        <v>1364</v>
      </c>
      <c r="C461" s="17" t="s">
        <v>1383</v>
      </c>
      <c r="D461" s="13" t="s">
        <v>295</v>
      </c>
      <c r="E461" s="22">
        <v>45217</v>
      </c>
      <c r="F461" s="23">
        <v>461</v>
      </c>
      <c r="G461" s="17">
        <v>110150</v>
      </c>
      <c r="H461" s="65">
        <v>4054334</v>
      </c>
      <c r="I461" s="19" t="s">
        <v>51</v>
      </c>
      <c r="J461" s="17" t="s">
        <v>1433</v>
      </c>
      <c r="K461" s="17" t="s">
        <v>1456</v>
      </c>
      <c r="L461" s="17" t="s">
        <v>1481</v>
      </c>
      <c r="M461" s="18">
        <v>7049</v>
      </c>
    </row>
    <row r="462" spans="1:13" ht="60" x14ac:dyDescent="0.25">
      <c r="A462" s="17" t="str">
        <f>HYPERLINK("https://my.zakupivli.pro/remote/dispatcher/state_purchase_view/45990285", "UA-2023-10-18-014812-a")</f>
        <v>UA-2023-10-18-014812-a</v>
      </c>
      <c r="B462" s="17" t="s">
        <v>1225</v>
      </c>
      <c r="C462" s="17" t="s">
        <v>1384</v>
      </c>
      <c r="D462" s="13" t="s">
        <v>295</v>
      </c>
      <c r="E462" s="22">
        <v>45217</v>
      </c>
      <c r="F462" s="23">
        <v>462</v>
      </c>
      <c r="G462" s="17">
        <v>110150</v>
      </c>
      <c r="H462" s="65">
        <v>4054334</v>
      </c>
      <c r="I462" s="19" t="s">
        <v>51</v>
      </c>
      <c r="J462" s="17" t="s">
        <v>581</v>
      </c>
      <c r="K462" s="17" t="s">
        <v>268</v>
      </c>
      <c r="L462" s="17" t="s">
        <v>1482</v>
      </c>
      <c r="M462" s="18">
        <v>23754.6</v>
      </c>
    </row>
    <row r="463" spans="1:13" ht="135" x14ac:dyDescent="0.25">
      <c r="A463" s="17" t="str">
        <f>HYPERLINK("https://my.zakupivli.pro/remote/dispatcher/state_purchase_view/46144996", "UA-2023-10-25-001906-a")</f>
        <v>UA-2023-10-25-001906-a</v>
      </c>
      <c r="B463" s="17" t="s">
        <v>28</v>
      </c>
      <c r="C463" s="17" t="s">
        <v>1385</v>
      </c>
      <c r="D463" s="13" t="s">
        <v>295</v>
      </c>
      <c r="E463" s="22">
        <v>45217</v>
      </c>
      <c r="F463" s="23">
        <v>463</v>
      </c>
      <c r="G463" s="17">
        <v>118230</v>
      </c>
      <c r="H463" s="65">
        <v>4054334</v>
      </c>
      <c r="I463" s="19" t="s">
        <v>51</v>
      </c>
      <c r="J463" s="17" t="s">
        <v>1434</v>
      </c>
      <c r="K463" s="17" t="s">
        <v>1457</v>
      </c>
      <c r="L463" s="17" t="s">
        <v>1483</v>
      </c>
      <c r="M463" s="18">
        <v>68255.28</v>
      </c>
    </row>
    <row r="464" spans="1:13" ht="60" x14ac:dyDescent="0.25">
      <c r="A464" s="17" t="str">
        <f>HYPERLINK("https://my.zakupivli.pro/remote/dispatcher/state_purchase_view/46145937", "UA-2023-10-25-002294-a")</f>
        <v>UA-2023-10-25-002294-a</v>
      </c>
      <c r="B464" s="17" t="s">
        <v>1365</v>
      </c>
      <c r="C464" s="17" t="s">
        <v>1386</v>
      </c>
      <c r="D464" s="13" t="s">
        <v>295</v>
      </c>
      <c r="E464" s="22">
        <v>45217</v>
      </c>
      <c r="F464" s="23">
        <v>464</v>
      </c>
      <c r="G464" s="17">
        <v>118230</v>
      </c>
      <c r="H464" s="65">
        <v>4054334</v>
      </c>
      <c r="I464" s="19" t="s">
        <v>51</v>
      </c>
      <c r="J464" s="17" t="s">
        <v>1434</v>
      </c>
      <c r="K464" s="17" t="s">
        <v>1457</v>
      </c>
      <c r="L464" s="17" t="s">
        <v>1484</v>
      </c>
      <c r="M464" s="18">
        <v>2514.12</v>
      </c>
    </row>
    <row r="465" spans="1:13" ht="60" x14ac:dyDescent="0.25">
      <c r="A465" s="17" t="str">
        <f>HYPERLINK("https://my.zakupivli.pro/remote/dispatcher/state_purchase_view/46146407", "UA-2023-10-25-002477-a")</f>
        <v>UA-2023-10-25-002477-a</v>
      </c>
      <c r="B465" s="17" t="s">
        <v>28</v>
      </c>
      <c r="C465" s="17" t="s">
        <v>1387</v>
      </c>
      <c r="D465" s="13" t="s">
        <v>295</v>
      </c>
      <c r="E465" s="22">
        <v>45217</v>
      </c>
      <c r="F465" s="23">
        <v>465</v>
      </c>
      <c r="G465" s="17">
        <v>118230</v>
      </c>
      <c r="H465" s="65">
        <v>4054334</v>
      </c>
      <c r="I465" s="19" t="s">
        <v>51</v>
      </c>
      <c r="J465" s="17" t="s">
        <v>1435</v>
      </c>
      <c r="K465" s="17" t="s">
        <v>1458</v>
      </c>
      <c r="L465" s="17" t="s">
        <v>1485</v>
      </c>
      <c r="M465" s="18">
        <v>43600</v>
      </c>
    </row>
    <row r="466" spans="1:13" s="4" customFormat="1" ht="105" x14ac:dyDescent="0.25">
      <c r="A466" s="17" t="s">
        <v>1538</v>
      </c>
      <c r="B466" s="17"/>
      <c r="C466" s="17"/>
      <c r="D466" s="17" t="s">
        <v>1569</v>
      </c>
      <c r="E466" s="22">
        <v>45222</v>
      </c>
      <c r="F466" s="23">
        <v>466</v>
      </c>
      <c r="G466" s="17">
        <v>110150</v>
      </c>
      <c r="H466" s="65"/>
      <c r="I466" s="19"/>
      <c r="J466" s="17">
        <v>42566969</v>
      </c>
      <c r="K466" s="17" t="s">
        <v>1563</v>
      </c>
      <c r="L466" s="17"/>
      <c r="M466" s="18"/>
    </row>
    <row r="467" spans="1:13" ht="165" x14ac:dyDescent="0.25">
      <c r="A467" s="17" t="str">
        <f>HYPERLINK("https://my.zakupivli.pro/remote/dispatcher/state_purchase_view/45459897", "UA-2023-09-26-011966-a")</f>
        <v>UA-2023-09-26-011966-a</v>
      </c>
      <c r="B467" s="17" t="s">
        <v>982</v>
      </c>
      <c r="C467" s="17" t="s">
        <v>1388</v>
      </c>
      <c r="D467" s="13" t="s">
        <v>1571</v>
      </c>
      <c r="E467" s="22">
        <v>45222</v>
      </c>
      <c r="F467" s="23">
        <v>467</v>
      </c>
      <c r="G467" s="17" t="s">
        <v>1556</v>
      </c>
      <c r="H467" s="65">
        <v>4054334</v>
      </c>
      <c r="I467" s="19" t="s">
        <v>51</v>
      </c>
      <c r="J467" s="17" t="s">
        <v>1436</v>
      </c>
      <c r="K467" s="17" t="s">
        <v>1459</v>
      </c>
      <c r="L467" s="17" t="s">
        <v>1486</v>
      </c>
      <c r="M467" s="68" t="s">
        <v>1570</v>
      </c>
    </row>
    <row r="468" spans="1:13" s="4" customFormat="1" ht="111" customHeight="1" x14ac:dyDescent="0.25">
      <c r="A468" s="17" t="s">
        <v>1539</v>
      </c>
      <c r="B468" s="17"/>
      <c r="C468" s="17"/>
      <c r="D468" s="17" t="s">
        <v>1569</v>
      </c>
      <c r="E468" s="22">
        <v>45222</v>
      </c>
      <c r="F468" s="23">
        <v>468</v>
      </c>
      <c r="G468" s="17">
        <v>110150</v>
      </c>
      <c r="H468" s="65">
        <v>4054334</v>
      </c>
      <c r="I468" s="19" t="s">
        <v>51</v>
      </c>
      <c r="J468" s="17">
        <v>42566969</v>
      </c>
      <c r="K468" s="17" t="s">
        <v>1563</v>
      </c>
      <c r="L468" s="17"/>
      <c r="M468" s="18"/>
    </row>
    <row r="469" spans="1:13" s="4" customFormat="1" ht="113.25" customHeight="1" x14ac:dyDescent="0.25">
      <c r="A469" s="17" t="s">
        <v>1540</v>
      </c>
      <c r="B469" s="17"/>
      <c r="C469" s="17"/>
      <c r="D469" s="17" t="s">
        <v>1569</v>
      </c>
      <c r="E469" s="22">
        <v>45222</v>
      </c>
      <c r="F469" s="23">
        <v>469</v>
      </c>
      <c r="G469" s="17">
        <v>110150</v>
      </c>
      <c r="H469" s="65">
        <v>4054334</v>
      </c>
      <c r="I469" s="19" t="s">
        <v>51</v>
      </c>
      <c r="J469" s="17">
        <v>42566969</v>
      </c>
      <c r="K469" s="17" t="s">
        <v>1563</v>
      </c>
      <c r="L469" s="17"/>
      <c r="M469" s="18"/>
    </row>
    <row r="470" spans="1:13" ht="105" x14ac:dyDescent="0.25">
      <c r="A470" s="17" t="str">
        <f>HYPERLINK("https://my.zakupivli.pro/remote/dispatcher/state_purchase_view/46137864", "UA-2023-10-24-015330-a")</f>
        <v>UA-2023-10-24-015330-a</v>
      </c>
      <c r="B470" s="17" t="s">
        <v>1366</v>
      </c>
      <c r="C470" s="17" t="s">
        <v>1389</v>
      </c>
      <c r="D470" s="13" t="s">
        <v>225</v>
      </c>
      <c r="E470" s="22">
        <v>45222</v>
      </c>
      <c r="F470" s="23">
        <v>470</v>
      </c>
      <c r="G470" s="17">
        <v>110150</v>
      </c>
      <c r="H470" s="65">
        <v>4054334</v>
      </c>
      <c r="I470" s="19" t="s">
        <v>51</v>
      </c>
      <c r="J470" s="17" t="s">
        <v>1437</v>
      </c>
      <c r="K470" s="17" t="s">
        <v>1460</v>
      </c>
      <c r="L470" s="17" t="s">
        <v>1487</v>
      </c>
      <c r="M470" s="18">
        <v>39631</v>
      </c>
    </row>
    <row r="471" spans="1:13" ht="75" x14ac:dyDescent="0.25">
      <c r="A471" s="17" t="str">
        <f>HYPERLINK("https://my.zakupivli.pro/remote/dispatcher/state_purchase_view/46137735", "UA-2023-10-24-015284-a")</f>
        <v>UA-2023-10-24-015284-a</v>
      </c>
      <c r="B471" s="17" t="s">
        <v>1367</v>
      </c>
      <c r="C471" s="17" t="s">
        <v>1390</v>
      </c>
      <c r="D471" s="17" t="s">
        <v>1572</v>
      </c>
      <c r="E471" s="22">
        <v>45222</v>
      </c>
      <c r="F471" s="23">
        <v>471</v>
      </c>
      <c r="G471" s="17">
        <v>110150</v>
      </c>
      <c r="H471" s="65">
        <v>4054334</v>
      </c>
      <c r="I471" s="19" t="s">
        <v>51</v>
      </c>
      <c r="J471" s="17" t="s">
        <v>1438</v>
      </c>
      <c r="K471" s="17" t="s">
        <v>1461</v>
      </c>
      <c r="L471" s="17" t="s">
        <v>1488</v>
      </c>
      <c r="M471" s="18">
        <v>53350</v>
      </c>
    </row>
    <row r="472" spans="1:13" ht="135" x14ac:dyDescent="0.25">
      <c r="A472" s="17" t="str">
        <f>HYPERLINK("https://my.zakupivli.pro/remote/dispatcher/state_purchase_view/45461672", "UA-2023-09-26-012775-a")</f>
        <v>UA-2023-09-26-012775-a</v>
      </c>
      <c r="B472" s="17" t="s">
        <v>574</v>
      </c>
      <c r="C472" s="17" t="s">
        <v>1391</v>
      </c>
      <c r="D472" s="17" t="s">
        <v>223</v>
      </c>
      <c r="E472" s="22">
        <v>45225</v>
      </c>
      <c r="F472" s="23">
        <v>472</v>
      </c>
      <c r="G472" s="17" t="s">
        <v>1557</v>
      </c>
      <c r="H472" s="65">
        <v>4054334</v>
      </c>
      <c r="I472" s="19" t="s">
        <v>51</v>
      </c>
      <c r="J472" s="17" t="s">
        <v>1439</v>
      </c>
      <c r="K472" s="17" t="s">
        <v>1462</v>
      </c>
      <c r="L472" s="17" t="s">
        <v>1489</v>
      </c>
      <c r="M472" s="18" t="s">
        <v>1573</v>
      </c>
    </row>
    <row r="473" spans="1:13" ht="75" x14ac:dyDescent="0.25">
      <c r="A473" s="17" t="str">
        <f>HYPERLINK("https://my.zakupivli.pro/remote/dispatcher/state_purchase_view/46252518", "UA-2023-10-30-004207-a")</f>
        <v>UA-2023-10-30-004207-a</v>
      </c>
      <c r="B473" s="17" t="s">
        <v>362</v>
      </c>
      <c r="C473" s="17" t="s">
        <v>1392</v>
      </c>
      <c r="D473" s="13" t="s">
        <v>225</v>
      </c>
      <c r="E473" s="22">
        <v>45226</v>
      </c>
      <c r="F473" s="23">
        <v>473</v>
      </c>
      <c r="G473" s="17">
        <v>110150</v>
      </c>
      <c r="H473" s="65">
        <v>4054334</v>
      </c>
      <c r="I473" s="19" t="s">
        <v>51</v>
      </c>
      <c r="J473" s="17" t="s">
        <v>79</v>
      </c>
      <c r="K473" s="17" t="s">
        <v>80</v>
      </c>
      <c r="L473" s="17" t="s">
        <v>1490</v>
      </c>
      <c r="M473" s="18">
        <v>4110</v>
      </c>
    </row>
    <row r="474" spans="1:13" ht="75" x14ac:dyDescent="0.25">
      <c r="A474" s="17" t="str">
        <f>HYPERLINK("https://my.zakupivli.pro/remote/dispatcher/state_purchase_view/46252214", "UA-2023-10-30-004010-a")</f>
        <v>UA-2023-10-30-004010-a</v>
      </c>
      <c r="B474" s="17" t="s">
        <v>362</v>
      </c>
      <c r="C474" s="17" t="s">
        <v>1392</v>
      </c>
      <c r="D474" s="13" t="s">
        <v>225</v>
      </c>
      <c r="E474" s="22">
        <v>45226</v>
      </c>
      <c r="F474" s="23">
        <v>474</v>
      </c>
      <c r="G474" s="17">
        <v>110150</v>
      </c>
      <c r="H474" s="65">
        <v>4054334</v>
      </c>
      <c r="I474" s="19" t="s">
        <v>51</v>
      </c>
      <c r="J474" s="17" t="s">
        <v>79</v>
      </c>
      <c r="K474" s="17" t="s">
        <v>80</v>
      </c>
      <c r="L474" s="17" t="s">
        <v>1490</v>
      </c>
      <c r="M474" s="18">
        <v>951</v>
      </c>
    </row>
    <row r="475" spans="1:13" ht="60" x14ac:dyDescent="0.25">
      <c r="A475" s="17" t="str">
        <f>HYPERLINK("https://my.zakupivli.pro/remote/dispatcher/state_purchase_view/46324664", "UA-2023-11-01-011557-a")</f>
        <v>UA-2023-11-01-011557-a</v>
      </c>
      <c r="B475" s="17" t="s">
        <v>946</v>
      </c>
      <c r="C475" s="17" t="s">
        <v>1393</v>
      </c>
      <c r="D475" s="17" t="s">
        <v>223</v>
      </c>
      <c r="E475" s="22">
        <v>45231</v>
      </c>
      <c r="F475" s="23">
        <v>475</v>
      </c>
      <c r="G475" s="17">
        <v>110150</v>
      </c>
      <c r="H475" s="65">
        <v>4054334</v>
      </c>
      <c r="I475" s="19" t="s">
        <v>51</v>
      </c>
      <c r="J475" s="17" t="s">
        <v>1440</v>
      </c>
      <c r="K475" s="17" t="s">
        <v>1463</v>
      </c>
      <c r="L475" s="17" t="s">
        <v>1491</v>
      </c>
      <c r="M475" s="18">
        <v>11840</v>
      </c>
    </row>
    <row r="476" spans="1:13" ht="60" x14ac:dyDescent="0.25">
      <c r="A476" s="17" t="str">
        <f>HYPERLINK("https://my.zakupivli.pro/remote/dispatcher/state_purchase_view/46324069", "UA-2023-11-01-011353-a")</f>
        <v>UA-2023-11-01-011353-a</v>
      </c>
      <c r="B476" s="17" t="s">
        <v>1368</v>
      </c>
      <c r="C476" s="17" t="s">
        <v>1394</v>
      </c>
      <c r="D476" s="17" t="s">
        <v>223</v>
      </c>
      <c r="E476" s="22">
        <v>45231</v>
      </c>
      <c r="F476" s="23">
        <v>476</v>
      </c>
      <c r="G476" s="17">
        <v>110150</v>
      </c>
      <c r="H476" s="65">
        <v>4054334</v>
      </c>
      <c r="I476" s="19" t="s">
        <v>51</v>
      </c>
      <c r="J476" s="17" t="s">
        <v>1441</v>
      </c>
      <c r="K476" s="17" t="s">
        <v>261</v>
      </c>
      <c r="L476" s="17" t="s">
        <v>1492</v>
      </c>
      <c r="M476" s="18">
        <v>14422.96</v>
      </c>
    </row>
    <row r="477" spans="1:13" ht="105" x14ac:dyDescent="0.25">
      <c r="A477" s="17" t="str">
        <f>HYPERLINK("https://my.zakupivli.pro/remote/dispatcher/state_purchase_view/46322494", "UA-2023-11-01-010542-a")</f>
        <v>UA-2023-11-01-010542-a</v>
      </c>
      <c r="B477" s="17" t="s">
        <v>1369</v>
      </c>
      <c r="C477" s="17" t="s">
        <v>1395</v>
      </c>
      <c r="D477" s="17" t="s">
        <v>223</v>
      </c>
      <c r="E477" s="22">
        <v>45231</v>
      </c>
      <c r="F477" s="23">
        <v>477</v>
      </c>
      <c r="G477" s="17">
        <v>110150</v>
      </c>
      <c r="H477" s="65">
        <v>4054334</v>
      </c>
      <c r="I477" s="19" t="s">
        <v>51</v>
      </c>
      <c r="J477" s="17" t="s">
        <v>1441</v>
      </c>
      <c r="K477" s="17" t="s">
        <v>261</v>
      </c>
      <c r="L477" s="17" t="s">
        <v>1493</v>
      </c>
      <c r="M477" s="18">
        <v>5298.8</v>
      </c>
    </row>
    <row r="478" spans="1:13" ht="60" x14ac:dyDescent="0.25">
      <c r="A478" s="17" t="str">
        <f>HYPERLINK("https://my.zakupivli.pro/remote/dispatcher/state_purchase_view/46322026", "UA-2023-11-01-010370-a")</f>
        <v>UA-2023-11-01-010370-a</v>
      </c>
      <c r="B478" s="17" t="s">
        <v>1161</v>
      </c>
      <c r="C478" s="17" t="s">
        <v>1396</v>
      </c>
      <c r="D478" s="17" t="s">
        <v>223</v>
      </c>
      <c r="E478" s="22">
        <v>45231</v>
      </c>
      <c r="F478" s="23">
        <v>478</v>
      </c>
      <c r="G478" s="17">
        <v>110150</v>
      </c>
      <c r="H478" s="65">
        <v>4054334</v>
      </c>
      <c r="I478" s="19" t="s">
        <v>51</v>
      </c>
      <c r="J478" s="17" t="s">
        <v>1441</v>
      </c>
      <c r="K478" s="17" t="s">
        <v>261</v>
      </c>
      <c r="L478" s="17" t="s">
        <v>1494</v>
      </c>
      <c r="M478" s="18">
        <v>4707.18</v>
      </c>
    </row>
    <row r="479" spans="1:13" ht="60" x14ac:dyDescent="0.25">
      <c r="A479" s="17" t="str">
        <f>HYPERLINK("https://my.zakupivli.pro/remote/dispatcher/state_purchase_view/46322915", "UA-2023-11-01-010755-a")</f>
        <v>UA-2023-11-01-010755-a</v>
      </c>
      <c r="B479" s="17" t="s">
        <v>1370</v>
      </c>
      <c r="C479" s="17" t="s">
        <v>1397</v>
      </c>
      <c r="D479" s="17" t="s">
        <v>223</v>
      </c>
      <c r="E479" s="22">
        <v>45231</v>
      </c>
      <c r="F479" s="23">
        <v>479</v>
      </c>
      <c r="G479" s="17">
        <v>110150</v>
      </c>
      <c r="H479" s="65">
        <v>4054334</v>
      </c>
      <c r="I479" s="19" t="s">
        <v>51</v>
      </c>
      <c r="J479" s="17" t="s">
        <v>1441</v>
      </c>
      <c r="K479" s="17" t="s">
        <v>261</v>
      </c>
      <c r="L479" s="17" t="s">
        <v>1495</v>
      </c>
      <c r="M479" s="18">
        <v>13776</v>
      </c>
    </row>
    <row r="480" spans="1:13" ht="60" x14ac:dyDescent="0.25">
      <c r="A480" s="17" t="str">
        <f>HYPERLINK("https://my.zakupivli.pro/remote/dispatcher/state_purchase_view/46324409", "UA-2023-11-01-011451-a")</f>
        <v>UA-2023-11-01-011451-a</v>
      </c>
      <c r="B480" s="17" t="s">
        <v>1371</v>
      </c>
      <c r="C480" s="17" t="s">
        <v>1398</v>
      </c>
      <c r="D480" s="17" t="s">
        <v>223</v>
      </c>
      <c r="E480" s="22">
        <v>45231</v>
      </c>
      <c r="F480" s="23">
        <v>480</v>
      </c>
      <c r="G480" s="17">
        <v>110150</v>
      </c>
      <c r="H480" s="65">
        <v>4054334</v>
      </c>
      <c r="I480" s="19" t="s">
        <v>51</v>
      </c>
      <c r="J480" s="17" t="s">
        <v>1441</v>
      </c>
      <c r="K480" s="17" t="s">
        <v>261</v>
      </c>
      <c r="L480" s="17" t="s">
        <v>1496</v>
      </c>
      <c r="M480" s="18">
        <v>23920</v>
      </c>
    </row>
    <row r="481" spans="1:13" ht="60" x14ac:dyDescent="0.25">
      <c r="A481" s="17" t="str">
        <f>HYPERLINK("https://my.zakupivli.pro/remote/dispatcher/state_purchase_view/46428921", "UA-2023-11-06-013414-a")</f>
        <v>UA-2023-11-06-013414-a</v>
      </c>
      <c r="B481" s="17" t="s">
        <v>1227</v>
      </c>
      <c r="C481" s="17" t="s">
        <v>1399</v>
      </c>
      <c r="D481" s="17" t="s">
        <v>223</v>
      </c>
      <c r="E481" s="22">
        <v>45236</v>
      </c>
      <c r="F481" s="23">
        <v>481</v>
      </c>
      <c r="G481" s="17">
        <v>117693</v>
      </c>
      <c r="H481" s="65">
        <v>4054334</v>
      </c>
      <c r="I481" s="19" t="s">
        <v>51</v>
      </c>
      <c r="J481" s="17" t="s">
        <v>1300</v>
      </c>
      <c r="K481" s="17" t="s">
        <v>1308</v>
      </c>
      <c r="L481" s="17" t="s">
        <v>1497</v>
      </c>
      <c r="M481" s="18">
        <v>99936.8</v>
      </c>
    </row>
    <row r="482" spans="1:13" ht="60" x14ac:dyDescent="0.25">
      <c r="A482" s="17" t="str">
        <f>HYPERLINK("https://my.zakupivli.pro/remote/dispatcher/state_purchase_view/46429323", "UA-2023-11-06-013593-a")</f>
        <v>UA-2023-11-06-013593-a</v>
      </c>
      <c r="B482" s="17" t="s">
        <v>413</v>
      </c>
      <c r="C482" s="17" t="s">
        <v>1400</v>
      </c>
      <c r="D482" s="17" t="s">
        <v>223</v>
      </c>
      <c r="E482" s="22">
        <v>45236</v>
      </c>
      <c r="F482" s="23">
        <v>482</v>
      </c>
      <c r="G482" s="17">
        <v>117693</v>
      </c>
      <c r="H482" s="65">
        <v>4054334</v>
      </c>
      <c r="I482" s="19" t="s">
        <v>51</v>
      </c>
      <c r="J482" s="17" t="s">
        <v>1300</v>
      </c>
      <c r="K482" s="17" t="s">
        <v>1308</v>
      </c>
      <c r="L482" s="17" t="s">
        <v>1498</v>
      </c>
      <c r="M482" s="18">
        <v>99792</v>
      </c>
    </row>
    <row r="483" spans="1:13" ht="60" x14ac:dyDescent="0.25">
      <c r="A483" s="17" t="str">
        <f>HYPERLINK("https://my.zakupivli.pro/remote/dispatcher/state_purchase_view/46430498", "UA-2023-11-06-014118-a")</f>
        <v>UA-2023-11-06-014118-a</v>
      </c>
      <c r="B483" s="17" t="s">
        <v>678</v>
      </c>
      <c r="C483" s="17" t="s">
        <v>1401</v>
      </c>
      <c r="D483" s="17" t="s">
        <v>223</v>
      </c>
      <c r="E483" s="22">
        <v>45236</v>
      </c>
      <c r="F483" s="23">
        <v>483</v>
      </c>
      <c r="G483" s="17">
        <v>117693</v>
      </c>
      <c r="H483" s="65">
        <v>4054334</v>
      </c>
      <c r="I483" s="19" t="s">
        <v>51</v>
      </c>
      <c r="J483" s="17" t="s">
        <v>1442</v>
      </c>
      <c r="K483" s="17" t="s">
        <v>1464</v>
      </c>
      <c r="L483" s="17" t="s">
        <v>1499</v>
      </c>
      <c r="M483" s="18">
        <v>97944</v>
      </c>
    </row>
    <row r="484" spans="1:13" ht="165" x14ac:dyDescent="0.25">
      <c r="A484" s="17" t="str">
        <f>HYPERLINK("https://my.zakupivli.pro/remote/dispatcher/state_purchase_view/46468702", "UA-2023-11-07-015060-a")</f>
        <v>UA-2023-11-07-015060-a</v>
      </c>
      <c r="B484" s="17" t="s">
        <v>430</v>
      </c>
      <c r="C484" s="17" t="s">
        <v>1402</v>
      </c>
      <c r="D484" s="13" t="s">
        <v>225</v>
      </c>
      <c r="E484" s="22">
        <v>45237</v>
      </c>
      <c r="F484" s="23">
        <v>484</v>
      </c>
      <c r="G484" s="17">
        <v>110150</v>
      </c>
      <c r="H484" s="65">
        <v>4054334</v>
      </c>
      <c r="I484" s="19" t="s">
        <v>51</v>
      </c>
      <c r="J484" s="17" t="s">
        <v>62</v>
      </c>
      <c r="K484" s="17" t="s">
        <v>63</v>
      </c>
      <c r="L484" s="17" t="s">
        <v>1500</v>
      </c>
      <c r="M484" s="18">
        <v>305</v>
      </c>
    </row>
    <row r="485" spans="1:13" ht="150" x14ac:dyDescent="0.25">
      <c r="A485" s="17" t="str">
        <f>HYPERLINK("https://my.zakupivli.pro/remote/dispatcher/state_purchase_view/46468529", "UA-2023-11-07-014980-a")</f>
        <v>UA-2023-11-07-014980-a</v>
      </c>
      <c r="B485" s="17" t="s">
        <v>430</v>
      </c>
      <c r="C485" s="17" t="s">
        <v>429</v>
      </c>
      <c r="D485" s="13" t="s">
        <v>225</v>
      </c>
      <c r="E485" s="22">
        <v>45237</v>
      </c>
      <c r="F485" s="23">
        <v>485</v>
      </c>
      <c r="G485" s="17">
        <v>110150</v>
      </c>
      <c r="H485" s="65">
        <v>4054334</v>
      </c>
      <c r="I485" s="19" t="s">
        <v>51</v>
      </c>
      <c r="J485" s="17" t="s">
        <v>62</v>
      </c>
      <c r="K485" s="17" t="s">
        <v>63</v>
      </c>
      <c r="L485" s="17" t="s">
        <v>1501</v>
      </c>
      <c r="M485" s="18">
        <v>1055</v>
      </c>
    </row>
    <row r="486" spans="1:13" ht="135" x14ac:dyDescent="0.25">
      <c r="A486" s="17" t="str">
        <f>HYPERLINK("https://my.zakupivli.pro/remote/dispatcher/state_purchase_view/46469920", "UA-2023-11-07-015590-a")</f>
        <v>UA-2023-11-07-015590-a</v>
      </c>
      <c r="B486" s="17" t="s">
        <v>237</v>
      </c>
      <c r="C486" s="17" t="s">
        <v>1403</v>
      </c>
      <c r="D486" s="13" t="s">
        <v>225</v>
      </c>
      <c r="E486" s="22">
        <v>45237</v>
      </c>
      <c r="F486" s="23">
        <v>486</v>
      </c>
      <c r="G486" s="17">
        <v>110150</v>
      </c>
      <c r="H486" s="65">
        <v>4054334</v>
      </c>
      <c r="I486" s="19" t="s">
        <v>51</v>
      </c>
      <c r="J486" s="17" t="s">
        <v>1443</v>
      </c>
      <c r="K486" s="17" t="s">
        <v>1465</v>
      </c>
      <c r="L486" s="17" t="s">
        <v>1502</v>
      </c>
      <c r="M486" s="18">
        <v>6834.29</v>
      </c>
    </row>
    <row r="487" spans="1:13" ht="60" x14ac:dyDescent="0.25">
      <c r="A487" s="17" t="str">
        <f>HYPERLINK("https://my.zakupivli.pro/remote/dispatcher/state_purchase_view/46555264", "UA-2023-11-10-003559-a")</f>
        <v>UA-2023-11-10-003559-a</v>
      </c>
      <c r="B487" s="17" t="s">
        <v>426</v>
      </c>
      <c r="C487" s="17" t="s">
        <v>942</v>
      </c>
      <c r="D487" s="17" t="s">
        <v>223</v>
      </c>
      <c r="E487" s="22">
        <v>45238</v>
      </c>
      <c r="F487" s="23">
        <v>487</v>
      </c>
      <c r="G487" s="17">
        <v>110150</v>
      </c>
      <c r="H487" s="65">
        <v>4054334</v>
      </c>
      <c r="I487" s="19" t="s">
        <v>51</v>
      </c>
      <c r="J487" s="17" t="s">
        <v>639</v>
      </c>
      <c r="K487" s="17" t="s">
        <v>427</v>
      </c>
      <c r="L487" s="17" t="s">
        <v>1503</v>
      </c>
      <c r="M487" s="18">
        <v>14300</v>
      </c>
    </row>
    <row r="488" spans="1:13" ht="165" x14ac:dyDescent="0.25">
      <c r="A488" s="17" t="str">
        <f>HYPERLINK("https://my.zakupivli.pro/remote/dispatcher/state_purchase_view/46564828", "UA-2023-11-10-007838-a")</f>
        <v>UA-2023-11-10-007838-a</v>
      </c>
      <c r="B488" s="17" t="s">
        <v>31</v>
      </c>
      <c r="C488" s="17" t="s">
        <v>1404</v>
      </c>
      <c r="D488" s="13" t="s">
        <v>225</v>
      </c>
      <c r="E488" s="22">
        <v>45238</v>
      </c>
      <c r="F488" s="23">
        <v>488</v>
      </c>
      <c r="G488" s="17">
        <v>118230</v>
      </c>
      <c r="H488" s="65">
        <v>4054334</v>
      </c>
      <c r="I488" s="19" t="s">
        <v>51</v>
      </c>
      <c r="J488" s="17" t="s">
        <v>590</v>
      </c>
      <c r="K488" s="17" t="s">
        <v>355</v>
      </c>
      <c r="L488" s="17" t="s">
        <v>1504</v>
      </c>
      <c r="M488" s="18">
        <v>18365</v>
      </c>
    </row>
    <row r="489" spans="1:13" ht="135" x14ac:dyDescent="0.25">
      <c r="A489" s="17" t="str">
        <f>HYPERLINK("https://my.zakupivli.pro/remote/dispatcher/state_purchase_view/46553876", "UA-2023-11-10-003011-a")</f>
        <v>UA-2023-11-10-003011-a</v>
      </c>
      <c r="B489" s="17" t="s">
        <v>31</v>
      </c>
      <c r="C489" s="17" t="s">
        <v>1405</v>
      </c>
      <c r="D489" s="13" t="s">
        <v>225</v>
      </c>
      <c r="E489" s="22">
        <v>45238</v>
      </c>
      <c r="F489" s="23">
        <v>489</v>
      </c>
      <c r="G489" s="17">
        <v>118230</v>
      </c>
      <c r="H489" s="65">
        <v>4054334</v>
      </c>
      <c r="I489" s="19" t="s">
        <v>51</v>
      </c>
      <c r="J489" s="17" t="s">
        <v>590</v>
      </c>
      <c r="K489" s="17" t="s">
        <v>355</v>
      </c>
      <c r="L489" s="17" t="s">
        <v>1505</v>
      </c>
      <c r="M489" s="18">
        <v>5825</v>
      </c>
    </row>
    <row r="490" spans="1:13" ht="150" x14ac:dyDescent="0.25">
      <c r="A490" s="17" t="str">
        <f>HYPERLINK("https://my.zakupivli.pro/remote/dispatcher/state_purchase_view/46729854", "UA-2023-11-16-012792-a")</f>
        <v>UA-2023-11-16-012792-a</v>
      </c>
      <c r="B490" s="17" t="s">
        <v>30</v>
      </c>
      <c r="C490" s="17" t="s">
        <v>1406</v>
      </c>
      <c r="D490" s="13" t="s">
        <v>225</v>
      </c>
      <c r="E490" s="22">
        <v>45238</v>
      </c>
      <c r="F490" s="23">
        <v>490</v>
      </c>
      <c r="G490" s="17">
        <v>110180</v>
      </c>
      <c r="H490" s="65">
        <v>4054334</v>
      </c>
      <c r="I490" s="19" t="s">
        <v>51</v>
      </c>
      <c r="J490" s="17" t="s">
        <v>143</v>
      </c>
      <c r="K490" s="17" t="s">
        <v>1466</v>
      </c>
      <c r="L490" s="17" t="s">
        <v>1506</v>
      </c>
      <c r="M490" s="18">
        <v>21677</v>
      </c>
    </row>
    <row r="491" spans="1:13" s="4" customFormat="1" ht="90" x14ac:dyDescent="0.25">
      <c r="A491" s="17" t="s">
        <v>1541</v>
      </c>
      <c r="B491" s="17"/>
      <c r="C491" s="17"/>
      <c r="D491" s="17" t="s">
        <v>1098</v>
      </c>
      <c r="E491" s="22">
        <v>45240</v>
      </c>
      <c r="F491" s="23">
        <v>491</v>
      </c>
      <c r="G491" s="17">
        <v>117693</v>
      </c>
      <c r="H491" s="65">
        <v>4054334</v>
      </c>
      <c r="I491" s="19" t="s">
        <v>51</v>
      </c>
      <c r="J491" s="17">
        <v>45263944</v>
      </c>
      <c r="K491" s="17" t="s">
        <v>1559</v>
      </c>
      <c r="L491" s="17"/>
      <c r="M491" s="18">
        <v>50000</v>
      </c>
    </row>
    <row r="492" spans="1:13" s="4" customFormat="1" ht="90" x14ac:dyDescent="0.25">
      <c r="A492" s="17" t="s">
        <v>1541</v>
      </c>
      <c r="B492" s="17"/>
      <c r="C492" s="17"/>
      <c r="D492" s="17" t="s">
        <v>1098</v>
      </c>
      <c r="E492" s="22">
        <v>45240</v>
      </c>
      <c r="F492" s="23">
        <v>492</v>
      </c>
      <c r="G492" s="17">
        <v>117693</v>
      </c>
      <c r="H492" s="65">
        <v>4054334</v>
      </c>
      <c r="I492" s="19" t="s">
        <v>51</v>
      </c>
      <c r="J492" s="17">
        <v>2911813404</v>
      </c>
      <c r="K492" s="17" t="s">
        <v>1560</v>
      </c>
      <c r="L492" s="17"/>
      <c r="M492" s="18">
        <v>50000</v>
      </c>
    </row>
    <row r="493" spans="1:13" s="4" customFormat="1" ht="90" x14ac:dyDescent="0.25">
      <c r="A493" s="17" t="s">
        <v>1541</v>
      </c>
      <c r="B493" s="17"/>
      <c r="C493" s="17"/>
      <c r="D493" s="17" t="s">
        <v>1098</v>
      </c>
      <c r="E493" s="22">
        <v>45240</v>
      </c>
      <c r="F493" s="23">
        <v>493</v>
      </c>
      <c r="G493" s="17">
        <v>117693</v>
      </c>
      <c r="H493" s="65">
        <v>4054334</v>
      </c>
      <c r="I493" s="19" t="s">
        <v>51</v>
      </c>
      <c r="J493" s="17">
        <v>3190823352</v>
      </c>
      <c r="K493" s="17" t="s">
        <v>1561</v>
      </c>
      <c r="L493" s="17"/>
      <c r="M493" s="18">
        <v>50000</v>
      </c>
    </row>
    <row r="494" spans="1:13" s="4" customFormat="1" ht="90" x14ac:dyDescent="0.25">
      <c r="A494" s="17" t="s">
        <v>1541</v>
      </c>
      <c r="B494" s="17"/>
      <c r="C494" s="17"/>
      <c r="D494" s="17" t="s">
        <v>1098</v>
      </c>
      <c r="E494" s="22">
        <v>45240</v>
      </c>
      <c r="F494" s="23">
        <v>494</v>
      </c>
      <c r="G494" s="17">
        <v>117693</v>
      </c>
      <c r="H494" s="65">
        <v>4054334</v>
      </c>
      <c r="I494" s="19" t="s">
        <v>51</v>
      </c>
      <c r="J494" s="17">
        <v>3551508621</v>
      </c>
      <c r="K494" s="17" t="s">
        <v>1562</v>
      </c>
      <c r="L494" s="17"/>
      <c r="M494" s="18">
        <v>50000</v>
      </c>
    </row>
    <row r="495" spans="1:13" ht="90" x14ac:dyDescent="0.25">
      <c r="A495" s="17" t="str">
        <f>HYPERLINK("https://my.zakupivli.pro/remote/dispatcher/state_purchase_view/46866313", "UA-2023-11-22-000569-a")</f>
        <v>UA-2023-11-22-000569-a</v>
      </c>
      <c r="B495" s="17" t="s">
        <v>45</v>
      </c>
      <c r="C495" s="17" t="s">
        <v>1407</v>
      </c>
      <c r="D495" s="13" t="s">
        <v>225</v>
      </c>
      <c r="E495" s="22">
        <v>45240</v>
      </c>
      <c r="F495" s="23">
        <v>495</v>
      </c>
      <c r="G495" s="17">
        <v>118230</v>
      </c>
      <c r="H495" s="65">
        <v>4054334</v>
      </c>
      <c r="I495" s="19" t="s">
        <v>51</v>
      </c>
      <c r="J495" s="17" t="s">
        <v>1444</v>
      </c>
      <c r="K495" s="17" t="s">
        <v>1149</v>
      </c>
      <c r="L495" s="17" t="s">
        <v>1507</v>
      </c>
      <c r="M495" s="18">
        <v>331402.42</v>
      </c>
    </row>
    <row r="496" spans="1:13" ht="150" x14ac:dyDescent="0.25">
      <c r="A496" s="17" t="str">
        <f>HYPERLINK("https://my.zakupivli.pro/remote/dispatcher/state_purchase_view/46707382", "UA-2023-11-16-002854-a")</f>
        <v>UA-2023-11-16-002854-a</v>
      </c>
      <c r="B496" s="17" t="s">
        <v>730</v>
      </c>
      <c r="C496" s="17" t="s">
        <v>1408</v>
      </c>
      <c r="D496" s="17" t="s">
        <v>1098</v>
      </c>
      <c r="E496" s="22">
        <v>45240</v>
      </c>
      <c r="F496" s="23">
        <v>496</v>
      </c>
      <c r="G496" s="17">
        <v>110180</v>
      </c>
      <c r="H496" s="65">
        <v>4054334</v>
      </c>
      <c r="I496" s="19" t="s">
        <v>51</v>
      </c>
      <c r="J496" s="17" t="s">
        <v>1445</v>
      </c>
      <c r="K496" s="17" t="s">
        <v>1154</v>
      </c>
      <c r="L496" s="17" t="s">
        <v>1508</v>
      </c>
      <c r="M496" s="18">
        <v>3290</v>
      </c>
    </row>
    <row r="497" spans="1:13" ht="105" x14ac:dyDescent="0.25">
      <c r="A497" s="17" t="str">
        <f>HYPERLINK("https://my.zakupivli.pro/remote/dispatcher/state_purchase_view/46707112", "UA-2023-11-16-002663-a")</f>
        <v>UA-2023-11-16-002663-a</v>
      </c>
      <c r="B497" s="17" t="s">
        <v>23</v>
      </c>
      <c r="C497" s="17" t="s">
        <v>1409</v>
      </c>
      <c r="D497" s="17" t="s">
        <v>1574</v>
      </c>
      <c r="E497" s="22">
        <v>45240</v>
      </c>
      <c r="F497" s="23">
        <v>497</v>
      </c>
      <c r="G497" s="17">
        <v>110150</v>
      </c>
      <c r="H497" s="65">
        <v>4054334</v>
      </c>
      <c r="I497" s="19" t="s">
        <v>51</v>
      </c>
      <c r="J497" s="17" t="s">
        <v>1446</v>
      </c>
      <c r="K497" s="17" t="s">
        <v>1467</v>
      </c>
      <c r="L497" s="17" t="s">
        <v>1509</v>
      </c>
      <c r="M497" s="18">
        <v>2452.96</v>
      </c>
    </row>
    <row r="498" spans="1:13" ht="90" x14ac:dyDescent="0.25">
      <c r="A498" s="17" t="str">
        <f>HYPERLINK("https://my.zakupivli.pro/remote/dispatcher/state_purchase_view/46702303", "UA-2023-11-16-000480-a")</f>
        <v>UA-2023-11-16-000480-a</v>
      </c>
      <c r="B498" s="17" t="s">
        <v>1223</v>
      </c>
      <c r="C498" s="17" t="s">
        <v>1410</v>
      </c>
      <c r="D498" s="13" t="s">
        <v>225</v>
      </c>
      <c r="E498" s="22">
        <v>45240</v>
      </c>
      <c r="F498" s="23">
        <v>498</v>
      </c>
      <c r="G498" s="17">
        <v>110150</v>
      </c>
      <c r="H498" s="65">
        <v>4054334</v>
      </c>
      <c r="I498" s="19" t="s">
        <v>51</v>
      </c>
      <c r="J498" s="17" t="s">
        <v>1293</v>
      </c>
      <c r="K498" s="17" t="s">
        <v>1059</v>
      </c>
      <c r="L498" s="17" t="s">
        <v>1510</v>
      </c>
      <c r="M498" s="18">
        <v>17500</v>
      </c>
    </row>
    <row r="499" spans="1:13" ht="60" x14ac:dyDescent="0.25">
      <c r="A499" s="17" t="str">
        <f>HYPERLINK("https://my.zakupivli.pro/remote/dispatcher/state_purchase_view/46703425", "UA-2023-11-16-000998-a")</f>
        <v>UA-2023-11-16-000998-a</v>
      </c>
      <c r="B499" s="17" t="s">
        <v>1223</v>
      </c>
      <c r="C499" s="17" t="s">
        <v>1411</v>
      </c>
      <c r="D499" s="13" t="s">
        <v>225</v>
      </c>
      <c r="E499" s="22">
        <v>45240</v>
      </c>
      <c r="F499" s="23">
        <v>499</v>
      </c>
      <c r="G499" s="17">
        <v>117693</v>
      </c>
      <c r="H499" s="65">
        <v>4054334</v>
      </c>
      <c r="I499" s="19" t="s">
        <v>51</v>
      </c>
      <c r="J499" s="17" t="s">
        <v>1447</v>
      </c>
      <c r="K499" s="17" t="s">
        <v>1468</v>
      </c>
      <c r="L499" s="17" t="s">
        <v>1511</v>
      </c>
      <c r="M499" s="18">
        <v>80772</v>
      </c>
    </row>
    <row r="500" spans="1:13" ht="60" x14ac:dyDescent="0.25">
      <c r="A500" s="17" t="str">
        <f>HYPERLINK("https://my.zakupivli.pro/remote/dispatcher/state_purchase_view/46706689", "UA-2023-11-16-002498-a")</f>
        <v>UA-2023-11-16-002498-a</v>
      </c>
      <c r="B500" s="17" t="s">
        <v>440</v>
      </c>
      <c r="C500" s="17" t="s">
        <v>1412</v>
      </c>
      <c r="D500" s="17" t="s">
        <v>223</v>
      </c>
      <c r="E500" s="22">
        <v>45240</v>
      </c>
      <c r="F500" s="23">
        <v>500</v>
      </c>
      <c r="G500" s="17">
        <v>117693</v>
      </c>
      <c r="H500" s="65">
        <v>4054334</v>
      </c>
      <c r="I500" s="19" t="s">
        <v>51</v>
      </c>
      <c r="J500" s="17" t="s">
        <v>1301</v>
      </c>
      <c r="K500" s="17" t="s">
        <v>1060</v>
      </c>
      <c r="L500" s="17" t="s">
        <v>1512</v>
      </c>
      <c r="M500" s="18">
        <v>47400</v>
      </c>
    </row>
    <row r="501" spans="1:13" ht="150" x14ac:dyDescent="0.25">
      <c r="A501" s="17" t="str">
        <f>HYPERLINK("https://my.zakupivli.pro/remote/dispatcher/state_purchase_view/46702882", "UA-2023-11-16-000727-a")</f>
        <v>UA-2023-11-16-000727-a</v>
      </c>
      <c r="B501" s="17" t="s">
        <v>15</v>
      </c>
      <c r="C501" s="17" t="s">
        <v>1413</v>
      </c>
      <c r="D501" s="13" t="s">
        <v>225</v>
      </c>
      <c r="E501" s="22">
        <v>45240</v>
      </c>
      <c r="F501" s="23">
        <v>501</v>
      </c>
      <c r="G501" s="17">
        <v>110150</v>
      </c>
      <c r="H501" s="65">
        <v>4054334</v>
      </c>
      <c r="I501" s="19" t="s">
        <v>51</v>
      </c>
      <c r="J501" s="17" t="s">
        <v>71</v>
      </c>
      <c r="K501" s="17" t="s">
        <v>72</v>
      </c>
      <c r="L501" s="17" t="s">
        <v>1513</v>
      </c>
      <c r="M501" s="18">
        <v>4407</v>
      </c>
    </row>
    <row r="502" spans="1:13" s="4" customFormat="1" ht="90" x14ac:dyDescent="0.25">
      <c r="A502" s="17" t="s">
        <v>1542</v>
      </c>
      <c r="B502" s="17"/>
      <c r="C502" s="17"/>
      <c r="D502" s="17" t="s">
        <v>1569</v>
      </c>
      <c r="E502" s="22">
        <v>45240</v>
      </c>
      <c r="F502" s="23">
        <v>502</v>
      </c>
      <c r="G502" s="17">
        <v>110150</v>
      </c>
      <c r="H502" s="65">
        <v>4054334</v>
      </c>
      <c r="I502" s="19" t="s">
        <v>51</v>
      </c>
      <c r="J502" s="17">
        <v>42566969</v>
      </c>
      <c r="K502" s="17" t="s">
        <v>1563</v>
      </c>
      <c r="L502" s="17"/>
      <c r="M502" s="18"/>
    </row>
    <row r="503" spans="1:13" s="4" customFormat="1" ht="75" x14ac:dyDescent="0.25">
      <c r="A503" s="17" t="s">
        <v>1543</v>
      </c>
      <c r="B503" s="17"/>
      <c r="C503" s="17"/>
      <c r="D503" s="17" t="s">
        <v>1569</v>
      </c>
      <c r="E503" s="22">
        <v>45240</v>
      </c>
      <c r="F503" s="23">
        <v>503</v>
      </c>
      <c r="G503" s="17">
        <v>110150</v>
      </c>
      <c r="H503" s="65">
        <v>4054334</v>
      </c>
      <c r="I503" s="19" t="s">
        <v>51</v>
      </c>
      <c r="J503" s="17">
        <v>42129720</v>
      </c>
      <c r="K503" s="17" t="s">
        <v>175</v>
      </c>
      <c r="L503" s="17"/>
      <c r="M503" s="18"/>
    </row>
    <row r="504" spans="1:13" s="4" customFormat="1" ht="75" x14ac:dyDescent="0.25">
      <c r="A504" s="17" t="s">
        <v>1544</v>
      </c>
      <c r="B504" s="17"/>
      <c r="C504" s="17"/>
      <c r="D504" s="17" t="s">
        <v>1569</v>
      </c>
      <c r="E504" s="22">
        <v>45240</v>
      </c>
      <c r="F504" s="23">
        <v>504</v>
      </c>
      <c r="G504" s="17">
        <v>110150</v>
      </c>
      <c r="H504" s="65">
        <v>4054334</v>
      </c>
      <c r="I504" s="19" t="s">
        <v>51</v>
      </c>
      <c r="J504" s="17">
        <v>42129720</v>
      </c>
      <c r="K504" s="17" t="s">
        <v>175</v>
      </c>
      <c r="L504" s="17"/>
      <c r="M504" s="18"/>
    </row>
    <row r="505" spans="1:13" ht="105" x14ac:dyDescent="0.25">
      <c r="A505" s="17" t="str">
        <f>HYPERLINK("https://my.zakupivli.pro/remote/dispatcher/state_purchase_view/46824989", "UA-2023-11-21-000487-a")</f>
        <v>UA-2023-11-21-000487-a</v>
      </c>
      <c r="B505" s="17" t="s">
        <v>362</v>
      </c>
      <c r="C505" s="17" t="s">
        <v>1414</v>
      </c>
      <c r="D505" s="13" t="s">
        <v>225</v>
      </c>
      <c r="E505" s="22">
        <v>45240</v>
      </c>
      <c r="F505" s="23">
        <v>505</v>
      </c>
      <c r="G505" s="17">
        <v>118230</v>
      </c>
      <c r="H505" s="65">
        <v>4054334</v>
      </c>
      <c r="I505" s="19" t="s">
        <v>51</v>
      </c>
      <c r="J505" s="17" t="s">
        <v>1448</v>
      </c>
      <c r="K505" s="17" t="s">
        <v>1469</v>
      </c>
      <c r="L505" s="17" t="s">
        <v>1514</v>
      </c>
      <c r="M505" s="18">
        <v>913574.36</v>
      </c>
    </row>
    <row r="506" spans="1:13" ht="135" x14ac:dyDescent="0.25">
      <c r="A506" s="17" t="str">
        <f>HYPERLINK("https://my.zakupivli.pro/remote/dispatcher/state_purchase_view/46824669", "UA-2023-11-21-000335-a")</f>
        <v>UA-2023-11-21-000335-a</v>
      </c>
      <c r="B506" s="17" t="s">
        <v>31</v>
      </c>
      <c r="C506" s="17" t="s">
        <v>1415</v>
      </c>
      <c r="D506" s="13" t="s">
        <v>225</v>
      </c>
      <c r="E506" s="22">
        <v>45240</v>
      </c>
      <c r="F506" s="23">
        <v>506</v>
      </c>
      <c r="G506" s="17">
        <v>118230</v>
      </c>
      <c r="H506" s="65">
        <v>4054334</v>
      </c>
      <c r="I506" s="19" t="s">
        <v>51</v>
      </c>
      <c r="J506" s="17" t="s">
        <v>69</v>
      </c>
      <c r="K506" s="17" t="s">
        <v>70</v>
      </c>
      <c r="L506" s="17" t="s">
        <v>1515</v>
      </c>
      <c r="M506" s="18">
        <v>3366.2</v>
      </c>
    </row>
    <row r="507" spans="1:13" ht="165" x14ac:dyDescent="0.25">
      <c r="A507" s="17" t="str">
        <f>HYPERLINK("https://my.zakupivli.pro/remote/dispatcher/state_purchase_view/46824290", "UA-2023-11-21-000151-a")</f>
        <v>UA-2023-11-21-000151-a</v>
      </c>
      <c r="B507" s="17" t="s">
        <v>31</v>
      </c>
      <c r="C507" s="17" t="s">
        <v>1416</v>
      </c>
      <c r="D507" s="13" t="s">
        <v>225</v>
      </c>
      <c r="E507" s="22">
        <v>45240</v>
      </c>
      <c r="F507" s="23">
        <v>507</v>
      </c>
      <c r="G507" s="17">
        <v>118230</v>
      </c>
      <c r="H507" s="65">
        <v>4054334</v>
      </c>
      <c r="I507" s="19" t="s">
        <v>51</v>
      </c>
      <c r="J507" s="17" t="s">
        <v>69</v>
      </c>
      <c r="K507" s="17" t="s">
        <v>70</v>
      </c>
      <c r="L507" s="17" t="s">
        <v>1516</v>
      </c>
      <c r="M507" s="18">
        <v>13442.81</v>
      </c>
    </row>
    <row r="508" spans="1:13" s="4" customFormat="1" ht="105" x14ac:dyDescent="0.25">
      <c r="A508" s="17" t="s">
        <v>1545</v>
      </c>
      <c r="B508" s="17" t="s">
        <v>448</v>
      </c>
      <c r="C508" s="17" t="s">
        <v>473</v>
      </c>
      <c r="D508" s="13" t="s">
        <v>225</v>
      </c>
      <c r="E508" s="22">
        <v>45251</v>
      </c>
      <c r="F508" s="23">
        <v>508</v>
      </c>
      <c r="G508" s="39">
        <v>117693</v>
      </c>
      <c r="H508" s="17" t="s">
        <v>50</v>
      </c>
      <c r="I508" s="17" t="s">
        <v>51</v>
      </c>
      <c r="J508" s="23">
        <v>33932580</v>
      </c>
      <c r="K508" s="17" t="s">
        <v>535</v>
      </c>
      <c r="L508" s="17" t="s">
        <v>509</v>
      </c>
      <c r="M508" s="34">
        <v>-25716.54</v>
      </c>
    </row>
    <row r="509" spans="1:13" ht="105" x14ac:dyDescent="0.25">
      <c r="A509" s="17" t="str">
        <f>HYPERLINK("https://my.zakupivli.pro/remote/dispatcher/state_purchase_view/46909381", "UA-2023-11-23-000571-a")</f>
        <v>UA-2023-11-23-000571-a</v>
      </c>
      <c r="B509" s="17" t="s">
        <v>448</v>
      </c>
      <c r="C509" s="17" t="s">
        <v>1417</v>
      </c>
      <c r="D509" s="13" t="s">
        <v>225</v>
      </c>
      <c r="E509" s="22">
        <v>45251</v>
      </c>
      <c r="F509" s="23">
        <v>509</v>
      </c>
      <c r="G509" s="17">
        <v>117693</v>
      </c>
      <c r="H509" s="65">
        <v>4054334</v>
      </c>
      <c r="I509" s="19" t="s">
        <v>51</v>
      </c>
      <c r="J509" s="17" t="s">
        <v>1449</v>
      </c>
      <c r="K509" s="17" t="s">
        <v>535</v>
      </c>
      <c r="L509" s="17" t="s">
        <v>1517</v>
      </c>
      <c r="M509" s="18">
        <v>60892.639999999999</v>
      </c>
    </row>
    <row r="510" spans="1:13" s="4" customFormat="1" ht="90" x14ac:dyDescent="0.25">
      <c r="A510" s="17" t="s">
        <v>1546</v>
      </c>
      <c r="B510" s="17"/>
      <c r="C510" s="17"/>
      <c r="D510" s="17" t="s">
        <v>1569</v>
      </c>
      <c r="E510" s="22"/>
      <c r="F510" s="23">
        <v>510</v>
      </c>
      <c r="G510" s="17">
        <v>110150</v>
      </c>
      <c r="H510" s="65"/>
      <c r="I510" s="19"/>
      <c r="J510" s="17">
        <v>42566969</v>
      </c>
      <c r="K510" s="17" t="s">
        <v>1563</v>
      </c>
      <c r="L510" s="17"/>
      <c r="M510" s="18"/>
    </row>
    <row r="511" spans="1:13" s="4" customFormat="1" ht="60" x14ac:dyDescent="0.25">
      <c r="A511" s="17" t="s">
        <v>1547</v>
      </c>
      <c r="B511" s="17" t="s">
        <v>1223</v>
      </c>
      <c r="C511" s="17" t="s">
        <v>1411</v>
      </c>
      <c r="D511" s="13" t="s">
        <v>225</v>
      </c>
      <c r="E511" s="22">
        <v>45251</v>
      </c>
      <c r="F511" s="23">
        <v>511</v>
      </c>
      <c r="G511" s="17">
        <v>117693</v>
      </c>
      <c r="H511" s="65">
        <v>4054334</v>
      </c>
      <c r="I511" s="19" t="s">
        <v>51</v>
      </c>
      <c r="J511" s="17" t="s">
        <v>1447</v>
      </c>
      <c r="K511" s="17" t="s">
        <v>1468</v>
      </c>
      <c r="L511" s="17" t="s">
        <v>1511</v>
      </c>
      <c r="M511" s="34">
        <v>-80772</v>
      </c>
    </row>
    <row r="512" spans="1:13" ht="60" x14ac:dyDescent="0.25">
      <c r="A512" s="17" t="str">
        <f>HYPERLINK("https://my.zakupivli.pro/remote/dispatcher/state_purchase_view/46911475", "UA-2023-11-23-001519-a")</f>
        <v>UA-2023-11-23-001519-a</v>
      </c>
      <c r="B512" s="17" t="s">
        <v>1372</v>
      </c>
      <c r="C512" s="17" t="s">
        <v>1411</v>
      </c>
      <c r="D512" s="17" t="s">
        <v>223</v>
      </c>
      <c r="E512" s="22">
        <v>45251</v>
      </c>
      <c r="F512" s="23">
        <v>512</v>
      </c>
      <c r="G512" s="17">
        <v>117693</v>
      </c>
      <c r="H512" s="65">
        <v>4054334</v>
      </c>
      <c r="I512" s="19" t="s">
        <v>51</v>
      </c>
      <c r="J512" s="17" t="s">
        <v>1447</v>
      </c>
      <c r="K512" s="17" t="s">
        <v>1468</v>
      </c>
      <c r="L512" s="17" t="s">
        <v>1518</v>
      </c>
      <c r="M512" s="18">
        <v>80722</v>
      </c>
    </row>
    <row r="513" spans="1:13" ht="75" x14ac:dyDescent="0.25">
      <c r="A513" s="17" t="str">
        <f>HYPERLINK("https://my.zakupivli.pro/remote/dispatcher/state_purchase_view/46981380", "UA-2023-11-24-013593-a")</f>
        <v>UA-2023-11-24-013593-a</v>
      </c>
      <c r="B513" s="17" t="s">
        <v>413</v>
      </c>
      <c r="C513" s="17" t="s">
        <v>1418</v>
      </c>
      <c r="D513" s="17" t="s">
        <v>223</v>
      </c>
      <c r="E513" s="22">
        <v>45251</v>
      </c>
      <c r="F513" s="23">
        <v>513</v>
      </c>
      <c r="G513" s="17">
        <v>118240</v>
      </c>
      <c r="H513" s="65">
        <v>4054334</v>
      </c>
      <c r="I513" s="19" t="s">
        <v>51</v>
      </c>
      <c r="J513" s="17" t="s">
        <v>1297</v>
      </c>
      <c r="K513" s="17" t="s">
        <v>1470</v>
      </c>
      <c r="L513" s="17" t="s">
        <v>1519</v>
      </c>
      <c r="M513" s="18">
        <v>69000</v>
      </c>
    </row>
    <row r="514" spans="1:13" ht="75" x14ac:dyDescent="0.25">
      <c r="A514" s="17" t="str">
        <f>HYPERLINK("https://my.zakupivli.pro/remote/dispatcher/state_purchase_view/46982802", "UA-2023-11-24-014293-a")</f>
        <v>UA-2023-11-24-014293-a</v>
      </c>
      <c r="B514" s="17" t="s">
        <v>368</v>
      </c>
      <c r="C514" s="17" t="s">
        <v>1419</v>
      </c>
      <c r="D514" s="17" t="s">
        <v>1572</v>
      </c>
      <c r="E514" s="22">
        <v>45251</v>
      </c>
      <c r="F514" s="23">
        <v>514</v>
      </c>
      <c r="G514" s="17">
        <v>118230</v>
      </c>
      <c r="H514" s="65">
        <v>4054334</v>
      </c>
      <c r="I514" s="19" t="s">
        <v>51</v>
      </c>
      <c r="J514" s="17" t="s">
        <v>1450</v>
      </c>
      <c r="K514" s="17" t="s">
        <v>1471</v>
      </c>
      <c r="L514" s="17" t="s">
        <v>1520</v>
      </c>
      <c r="M514" s="18">
        <v>191077.3</v>
      </c>
    </row>
    <row r="515" spans="1:13" ht="75" x14ac:dyDescent="0.25">
      <c r="A515" s="17" t="str">
        <f>HYPERLINK("https://my.zakupivli.pro/remote/dispatcher/state_purchase_view/46983697", "UA-2023-11-24-014670-a")</f>
        <v>UA-2023-11-24-014670-a</v>
      </c>
      <c r="B515" s="17" t="s">
        <v>1370</v>
      </c>
      <c r="C515" s="17" t="s">
        <v>1420</v>
      </c>
      <c r="D515" s="17" t="s">
        <v>1572</v>
      </c>
      <c r="E515" s="22">
        <v>45251</v>
      </c>
      <c r="F515" s="23">
        <v>515</v>
      </c>
      <c r="G515" s="17">
        <v>118230</v>
      </c>
      <c r="H515" s="65">
        <v>4054334</v>
      </c>
      <c r="I515" s="19" t="s">
        <v>51</v>
      </c>
      <c r="J515" s="17" t="s">
        <v>1450</v>
      </c>
      <c r="K515" s="17" t="s">
        <v>1471</v>
      </c>
      <c r="L515" s="17" t="s">
        <v>1521</v>
      </c>
      <c r="M515" s="18">
        <v>200597.2</v>
      </c>
    </row>
    <row r="516" spans="1:13" ht="60" x14ac:dyDescent="0.25">
      <c r="A516" s="17" t="str">
        <f>HYPERLINK("https://my.zakupivli.pro/remote/dispatcher/state_purchase_view/46983201", "UA-2023-11-24-014518-a")</f>
        <v>UA-2023-11-24-014518-a</v>
      </c>
      <c r="B516" s="17" t="s">
        <v>1373</v>
      </c>
      <c r="C516" s="17" t="s">
        <v>1421</v>
      </c>
      <c r="D516" s="17" t="s">
        <v>223</v>
      </c>
      <c r="E516" s="22">
        <v>45251</v>
      </c>
      <c r="F516" s="23">
        <v>516</v>
      </c>
      <c r="G516" s="17">
        <v>118230</v>
      </c>
      <c r="H516" s="65">
        <v>4054334</v>
      </c>
      <c r="I516" s="19" t="s">
        <v>51</v>
      </c>
      <c r="J516" s="17" t="s">
        <v>1450</v>
      </c>
      <c r="K516" s="17" t="s">
        <v>1471</v>
      </c>
      <c r="L516" s="17" t="s">
        <v>1522</v>
      </c>
      <c r="M516" s="18">
        <v>65395</v>
      </c>
    </row>
    <row r="517" spans="1:13" ht="90" x14ac:dyDescent="0.25">
      <c r="A517" s="17" t="str">
        <f>HYPERLINK("https://my.zakupivli.pro/remote/dispatcher/state_purchase_view/46980583", "UA-2023-11-24-013236-a")</f>
        <v>UA-2023-11-24-013236-a</v>
      </c>
      <c r="B517" s="17" t="s">
        <v>1372</v>
      </c>
      <c r="C517" s="17" t="s">
        <v>1422</v>
      </c>
      <c r="D517" s="17" t="s">
        <v>223</v>
      </c>
      <c r="E517" s="22">
        <v>45251</v>
      </c>
      <c r="F517" s="23">
        <v>517</v>
      </c>
      <c r="G517" s="17">
        <v>110150</v>
      </c>
      <c r="H517" s="65">
        <v>4054334</v>
      </c>
      <c r="I517" s="19" t="s">
        <v>51</v>
      </c>
      <c r="J517" s="17" t="s">
        <v>1293</v>
      </c>
      <c r="K517" s="17" t="s">
        <v>1059</v>
      </c>
      <c r="L517" s="17" t="s">
        <v>1523</v>
      </c>
      <c r="M517" s="18">
        <v>19250</v>
      </c>
    </row>
    <row r="518" spans="1:13" ht="120" x14ac:dyDescent="0.25">
      <c r="A518" s="17" t="str">
        <f>HYPERLINK("https://my.zakupivli.pro/remote/dispatcher/state_purchase_view/47056689", "UA-2023-11-28-009759-a")</f>
        <v>UA-2023-11-28-009759-a</v>
      </c>
      <c r="B518" s="17" t="s">
        <v>1374</v>
      </c>
      <c r="C518" s="17" t="s">
        <v>1423</v>
      </c>
      <c r="D518" s="13" t="s">
        <v>225</v>
      </c>
      <c r="E518" s="22">
        <v>45254</v>
      </c>
      <c r="F518" s="23">
        <v>518</v>
      </c>
      <c r="G518" s="17">
        <v>110150</v>
      </c>
      <c r="H518" s="65">
        <v>4054334</v>
      </c>
      <c r="I518" s="19" t="s">
        <v>51</v>
      </c>
      <c r="J518" s="17" t="s">
        <v>1451</v>
      </c>
      <c r="K518" s="17" t="s">
        <v>1472</v>
      </c>
      <c r="L518" s="17" t="s">
        <v>1524</v>
      </c>
      <c r="M518" s="18">
        <v>2300.04</v>
      </c>
    </row>
    <row r="519" spans="1:13" s="4" customFormat="1" ht="180" x14ac:dyDescent="0.25">
      <c r="A519" s="17" t="s">
        <v>1548</v>
      </c>
      <c r="B519" s="19" t="s">
        <v>31</v>
      </c>
      <c r="C519" s="19" t="s">
        <v>1235</v>
      </c>
      <c r="D519" s="13" t="s">
        <v>225</v>
      </c>
      <c r="E519" s="20">
        <v>45260</v>
      </c>
      <c r="F519" s="19">
        <v>519</v>
      </c>
      <c r="G519" s="17">
        <v>118230</v>
      </c>
      <c r="H519" s="19" t="s">
        <v>50</v>
      </c>
      <c r="I519" s="19" t="s">
        <v>51</v>
      </c>
      <c r="J519" s="19" t="s">
        <v>69</v>
      </c>
      <c r="K519" s="19" t="s">
        <v>70</v>
      </c>
      <c r="L519" s="19" t="s">
        <v>1266</v>
      </c>
      <c r="M519" s="21">
        <v>18063.13</v>
      </c>
    </row>
    <row r="520" spans="1:13" s="4" customFormat="1" ht="105" x14ac:dyDescent="0.25">
      <c r="A520" s="17" t="s">
        <v>1549</v>
      </c>
      <c r="B520" s="19" t="s">
        <v>45</v>
      </c>
      <c r="C520" s="19" t="s">
        <v>1234</v>
      </c>
      <c r="D520" s="13" t="s">
        <v>225</v>
      </c>
      <c r="E520" s="20">
        <v>45260</v>
      </c>
      <c r="F520" s="19">
        <v>520</v>
      </c>
      <c r="G520" s="17">
        <v>118230</v>
      </c>
      <c r="H520" s="19" t="s">
        <v>50</v>
      </c>
      <c r="I520" s="19" t="s">
        <v>51</v>
      </c>
      <c r="J520" s="19" t="s">
        <v>91</v>
      </c>
      <c r="K520" s="19" t="s">
        <v>92</v>
      </c>
      <c r="L520" s="19" t="s">
        <v>1265</v>
      </c>
      <c r="M520" s="21">
        <v>1271217.23</v>
      </c>
    </row>
    <row r="521" spans="1:13" ht="75" x14ac:dyDescent="0.25">
      <c r="A521" s="17" t="str">
        <f>HYPERLINK("https://my.zakupivli.pro/remote/dispatcher/state_purchase_view/47208132", "UA-2023-12-04-004412-a")</f>
        <v>UA-2023-12-04-004412-a</v>
      </c>
      <c r="B521" s="17" t="s">
        <v>52</v>
      </c>
      <c r="C521" s="17" t="s">
        <v>1424</v>
      </c>
      <c r="D521" s="17" t="s">
        <v>223</v>
      </c>
      <c r="E521" s="22">
        <v>45260</v>
      </c>
      <c r="F521" s="23">
        <v>521</v>
      </c>
      <c r="G521" s="17">
        <v>110150</v>
      </c>
      <c r="H521" s="65">
        <v>4054334</v>
      </c>
      <c r="I521" s="19" t="s">
        <v>51</v>
      </c>
      <c r="J521" s="17" t="s">
        <v>324</v>
      </c>
      <c r="K521" s="17" t="s">
        <v>323</v>
      </c>
      <c r="L521" s="17" t="s">
        <v>1525</v>
      </c>
      <c r="M521" s="18">
        <v>28380</v>
      </c>
    </row>
    <row r="522" spans="1:13" ht="75" x14ac:dyDescent="0.25">
      <c r="A522" s="17" t="str">
        <f>HYPERLINK("https://my.zakupivli.pro/remote/dispatcher/state_purchase_view/47207159", "UA-2023-12-04-003981-a")</f>
        <v>UA-2023-12-04-003981-a</v>
      </c>
      <c r="B522" s="17" t="s">
        <v>12</v>
      </c>
      <c r="C522" s="17" t="s">
        <v>1425</v>
      </c>
      <c r="D522" s="13" t="s">
        <v>225</v>
      </c>
      <c r="E522" s="22">
        <v>45260</v>
      </c>
      <c r="F522" s="23">
        <v>522</v>
      </c>
      <c r="G522" s="17">
        <v>110150</v>
      </c>
      <c r="H522" s="65">
        <v>4054334</v>
      </c>
      <c r="I522" s="19" t="s">
        <v>51</v>
      </c>
      <c r="J522" s="17" t="s">
        <v>1452</v>
      </c>
      <c r="K522" s="17" t="s">
        <v>1473</v>
      </c>
      <c r="L522" s="17" t="s">
        <v>1526</v>
      </c>
      <c r="M522" s="18">
        <v>16050</v>
      </c>
    </row>
    <row r="523" spans="1:13" ht="150" x14ac:dyDescent="0.25">
      <c r="A523" s="17" t="str">
        <f>HYPERLINK("https://my.zakupivli.pro/remote/dispatcher/state_purchase_view/47209371", "UA-2023-12-04-005025-a")</f>
        <v>UA-2023-12-04-005025-a</v>
      </c>
      <c r="B523" s="17" t="s">
        <v>1375</v>
      </c>
      <c r="C523" s="17" t="s">
        <v>1426</v>
      </c>
      <c r="D523" s="17" t="s">
        <v>1575</v>
      </c>
      <c r="E523" s="22">
        <v>45260</v>
      </c>
      <c r="F523" s="23">
        <v>523</v>
      </c>
      <c r="G523" s="17">
        <v>116083</v>
      </c>
      <c r="H523" s="65">
        <v>4054334</v>
      </c>
      <c r="I523" s="19" t="s">
        <v>51</v>
      </c>
      <c r="J523" s="17" t="s">
        <v>1453</v>
      </c>
      <c r="K523" s="17" t="s">
        <v>1474</v>
      </c>
      <c r="L523" s="17" t="s">
        <v>1527</v>
      </c>
      <c r="M523" s="18">
        <v>227182.1</v>
      </c>
    </row>
    <row r="524" spans="1:13" ht="135" x14ac:dyDescent="0.25">
      <c r="A524" s="17" t="str">
        <f>HYPERLINK("https://my.zakupivli.pro/remote/dispatcher/state_purchase_view/46297718", "UA-2023-10-31-011408-a")</f>
        <v>UA-2023-10-31-011408-a</v>
      </c>
      <c r="B524" s="17" t="s">
        <v>1376</v>
      </c>
      <c r="C524" s="17" t="s">
        <v>1427</v>
      </c>
      <c r="D524" s="17" t="s">
        <v>223</v>
      </c>
      <c r="E524" s="22">
        <v>45260</v>
      </c>
      <c r="F524" s="23">
        <v>524</v>
      </c>
      <c r="G524" s="17" t="s">
        <v>1558</v>
      </c>
      <c r="H524" s="65">
        <v>4054334</v>
      </c>
      <c r="I524" s="19" t="s">
        <v>51</v>
      </c>
      <c r="J524" s="17" t="s">
        <v>95</v>
      </c>
      <c r="K524" s="17" t="s">
        <v>96</v>
      </c>
      <c r="L524" s="17" t="s">
        <v>1528</v>
      </c>
      <c r="M524" s="18">
        <v>583300</v>
      </c>
    </row>
    <row r="525" spans="1:13" ht="60" x14ac:dyDescent="0.25">
      <c r="A525" s="17" t="str">
        <f>HYPERLINK("https://my.zakupivli.pro/remote/dispatcher/state_purchase_view/47212322", "UA-2023-12-04-006357-a")</f>
        <v>UA-2023-12-04-006357-a</v>
      </c>
      <c r="B525" s="17" t="s">
        <v>566</v>
      </c>
      <c r="C525" s="17" t="s">
        <v>1428</v>
      </c>
      <c r="D525" s="17" t="s">
        <v>223</v>
      </c>
      <c r="E525" s="22">
        <v>45260</v>
      </c>
      <c r="F525" s="23">
        <v>525</v>
      </c>
      <c r="G525" s="17">
        <v>118230</v>
      </c>
      <c r="H525" s="65">
        <v>4054334</v>
      </c>
      <c r="I525" s="19" t="s">
        <v>51</v>
      </c>
      <c r="J525" s="17" t="s">
        <v>1454</v>
      </c>
      <c r="K525" s="17" t="s">
        <v>1475</v>
      </c>
      <c r="L525" s="17" t="s">
        <v>1529</v>
      </c>
      <c r="M525" s="18">
        <v>12168</v>
      </c>
    </row>
    <row r="526" spans="1:13" ht="60" x14ac:dyDescent="0.25">
      <c r="A526" s="17" t="str">
        <f>HYPERLINK("https://my.zakupivli.pro/remote/dispatcher/state_purchase_view/47210423", "UA-2023-12-04-005489-a")</f>
        <v>UA-2023-12-04-005489-a</v>
      </c>
      <c r="B526" s="17" t="s">
        <v>1365</v>
      </c>
      <c r="C526" s="17" t="s">
        <v>1429</v>
      </c>
      <c r="D526" s="17" t="s">
        <v>223</v>
      </c>
      <c r="E526" s="22">
        <v>45260</v>
      </c>
      <c r="F526" s="23">
        <v>526</v>
      </c>
      <c r="G526" s="17">
        <v>118230</v>
      </c>
      <c r="H526" s="65">
        <v>4054334</v>
      </c>
      <c r="I526" s="19" t="s">
        <v>51</v>
      </c>
      <c r="J526" s="17" t="s">
        <v>1454</v>
      </c>
      <c r="K526" s="17" t="s">
        <v>1475</v>
      </c>
      <c r="L526" s="17" t="s">
        <v>1530</v>
      </c>
      <c r="M526" s="18">
        <v>9050</v>
      </c>
    </row>
    <row r="527" spans="1:13" ht="120" x14ac:dyDescent="0.25">
      <c r="A527" s="17" t="str">
        <f>HYPERLINK("https://my.zakupivli.pro/remote/dispatcher/state_purchase_view/47221863", "UA-2023-12-04-010616-a")</f>
        <v>UA-2023-12-04-010616-a</v>
      </c>
      <c r="B527" s="17" t="s">
        <v>28</v>
      </c>
      <c r="C527" s="17" t="s">
        <v>1430</v>
      </c>
      <c r="D527" s="17" t="s">
        <v>223</v>
      </c>
      <c r="E527" s="22">
        <v>45260</v>
      </c>
      <c r="F527" s="23">
        <v>527</v>
      </c>
      <c r="G527" s="17">
        <v>118230</v>
      </c>
      <c r="H527" s="65">
        <v>4054334</v>
      </c>
      <c r="I527" s="19" t="s">
        <v>51</v>
      </c>
      <c r="J527" s="17" t="s">
        <v>1454</v>
      </c>
      <c r="K527" s="17" t="s">
        <v>1475</v>
      </c>
      <c r="L527" s="17" t="s">
        <v>1531</v>
      </c>
      <c r="M527" s="18">
        <v>182746.44</v>
      </c>
    </row>
    <row r="528" spans="1:13" ht="75" x14ac:dyDescent="0.25">
      <c r="A528" s="17" t="str">
        <f>HYPERLINK("https://my.zakupivli.pro/remote/dispatcher/state_purchase_view/47208842", "UA-2023-12-04-004657-a")</f>
        <v>UA-2023-12-04-004657-a</v>
      </c>
      <c r="B528" s="17" t="s">
        <v>1377</v>
      </c>
      <c r="C528" s="17" t="s">
        <v>1431</v>
      </c>
      <c r="D528" s="17" t="s">
        <v>1572</v>
      </c>
      <c r="E528" s="22">
        <v>45260</v>
      </c>
      <c r="F528" s="23">
        <v>528</v>
      </c>
      <c r="G528" s="17">
        <v>118230</v>
      </c>
      <c r="H528" s="65">
        <v>4054334</v>
      </c>
      <c r="I528" s="19" t="s">
        <v>51</v>
      </c>
      <c r="J528" s="17" t="s">
        <v>1450</v>
      </c>
      <c r="K528" s="17" t="s">
        <v>1471</v>
      </c>
      <c r="L528" s="17" t="s">
        <v>1532</v>
      </c>
      <c r="M528" s="18">
        <v>568341.68000000005</v>
      </c>
    </row>
    <row r="529" spans="1:13" ht="151.5" customHeight="1" x14ac:dyDescent="0.25">
      <c r="A529" s="17" t="str">
        <f>HYPERLINK("https://my.zakupivli.pro/remote/dispatcher/state_purchase_view/47240869", "UA-2023-12-04-019073-a")</f>
        <v>UA-2023-12-04-019073-a</v>
      </c>
      <c r="B529" s="17" t="s">
        <v>237</v>
      </c>
      <c r="C529" s="17" t="s">
        <v>1551</v>
      </c>
      <c r="D529" s="13" t="s">
        <v>225</v>
      </c>
      <c r="E529" s="22">
        <v>45260</v>
      </c>
      <c r="F529" s="23">
        <v>529</v>
      </c>
      <c r="G529" s="17">
        <v>110150</v>
      </c>
      <c r="H529" s="65">
        <v>4054334</v>
      </c>
      <c r="I529" s="19" t="s">
        <v>51</v>
      </c>
      <c r="J529" s="17">
        <v>20544966</v>
      </c>
      <c r="K529" s="17" t="s">
        <v>1552</v>
      </c>
      <c r="L529" s="17" t="s">
        <v>1550</v>
      </c>
      <c r="M529" s="18">
        <v>92378.46</v>
      </c>
    </row>
    <row r="530" spans="1:13" ht="135" x14ac:dyDescent="0.25">
      <c r="A530" s="17" t="str">
        <f>HYPERLINK("https://my.zakupivli.pro/remote/dispatcher/state_purchase_view/47236056", "UA-2023-12-04-017137-a")</f>
        <v>UA-2023-12-04-017137-a</v>
      </c>
      <c r="B530" s="17" t="s">
        <v>1375</v>
      </c>
      <c r="C530" s="17" t="s">
        <v>1554</v>
      </c>
      <c r="D530" s="17" t="s">
        <v>1576</v>
      </c>
      <c r="E530" s="22">
        <v>45260</v>
      </c>
      <c r="F530" s="23">
        <v>530</v>
      </c>
      <c r="G530" s="17">
        <v>116083</v>
      </c>
      <c r="H530" s="65">
        <v>4054334</v>
      </c>
      <c r="I530" s="19" t="s">
        <v>51</v>
      </c>
      <c r="J530" s="17">
        <v>3063712502</v>
      </c>
      <c r="K530" s="17" t="s">
        <v>1555</v>
      </c>
      <c r="L530" s="17" t="s">
        <v>1553</v>
      </c>
      <c r="M530" s="18">
        <v>31852.63</v>
      </c>
    </row>
    <row r="531" spans="1:13" ht="90" x14ac:dyDescent="0.25">
      <c r="A531" s="17" t="str">
        <f>HYPERLINK("https://my.zakupivli.pro/remote/dispatcher/state_purchase_view/47313162", "UA-2023-12-06-008348-a")</f>
        <v>UA-2023-12-06-008348-a</v>
      </c>
      <c r="B531" s="17" t="s">
        <v>445</v>
      </c>
      <c r="C531" s="17" t="s">
        <v>1607</v>
      </c>
      <c r="D531" s="17" t="s">
        <v>1670</v>
      </c>
      <c r="E531" s="22">
        <v>45264</v>
      </c>
      <c r="F531" s="17">
        <v>531</v>
      </c>
      <c r="G531" s="17">
        <v>113112</v>
      </c>
      <c r="H531" s="23">
        <v>4054334</v>
      </c>
      <c r="I531" s="17" t="s">
        <v>51</v>
      </c>
      <c r="J531" s="17">
        <v>44684007</v>
      </c>
      <c r="K531" s="17" t="s">
        <v>1640</v>
      </c>
      <c r="L531" s="17" t="s">
        <v>1577</v>
      </c>
      <c r="M531" s="18">
        <v>91882.6</v>
      </c>
    </row>
    <row r="532" spans="1:13" ht="60" x14ac:dyDescent="0.25">
      <c r="A532" s="17" t="str">
        <f>HYPERLINK("https://my.zakupivli.pro/remote/dispatcher/state_purchase_view/47304493", "UA-2023-12-06-004542-a")</f>
        <v>UA-2023-12-06-004542-a</v>
      </c>
      <c r="B532" s="17" t="s">
        <v>566</v>
      </c>
      <c r="C532" s="17" t="s">
        <v>1608</v>
      </c>
      <c r="D532" s="17" t="s">
        <v>223</v>
      </c>
      <c r="E532" s="22">
        <v>45265</v>
      </c>
      <c r="F532" s="17">
        <v>532</v>
      </c>
      <c r="G532" s="17">
        <v>118230</v>
      </c>
      <c r="H532" s="23">
        <v>4054334</v>
      </c>
      <c r="I532" s="17" t="s">
        <v>51</v>
      </c>
      <c r="J532" s="17">
        <v>3326013228</v>
      </c>
      <c r="K532" s="17" t="s">
        <v>1641</v>
      </c>
      <c r="L532" s="17" t="s">
        <v>1578</v>
      </c>
      <c r="M532" s="18">
        <v>38850</v>
      </c>
    </row>
    <row r="533" spans="1:13" ht="210" x14ac:dyDescent="0.25">
      <c r="A533" s="45" t="s">
        <v>1657</v>
      </c>
      <c r="B533" s="17" t="s">
        <v>433</v>
      </c>
      <c r="C533" s="17" t="s">
        <v>1609</v>
      </c>
      <c r="D533" s="17" t="s">
        <v>223</v>
      </c>
      <c r="E533" s="22">
        <v>45265</v>
      </c>
      <c r="F533" s="17">
        <v>533</v>
      </c>
      <c r="G533" s="17">
        <v>118230</v>
      </c>
      <c r="H533" s="23">
        <v>4054334</v>
      </c>
      <c r="I533" s="17" t="s">
        <v>51</v>
      </c>
      <c r="J533" s="17">
        <v>3326013228</v>
      </c>
      <c r="K533" s="17" t="s">
        <v>1641</v>
      </c>
      <c r="L533" s="17" t="s">
        <v>1579</v>
      </c>
      <c r="M533" s="18">
        <v>239767</v>
      </c>
    </row>
    <row r="534" spans="1:13" ht="90" x14ac:dyDescent="0.25">
      <c r="A534" s="17" t="str">
        <f>HYPERLINK("https://my.zakupivli.pro/remote/dispatcher/state_purchase_view/47313496", "UA-2023-12-06-008437-a")</f>
        <v>UA-2023-12-06-008437-a</v>
      </c>
      <c r="B534" s="17" t="s">
        <v>54</v>
      </c>
      <c r="C534" s="17" t="s">
        <v>1610</v>
      </c>
      <c r="D534" s="13" t="s">
        <v>225</v>
      </c>
      <c r="E534" s="22">
        <v>45265</v>
      </c>
      <c r="F534" s="17">
        <v>534</v>
      </c>
      <c r="G534" s="17">
        <v>113112</v>
      </c>
      <c r="H534" s="23">
        <v>4054334</v>
      </c>
      <c r="I534" s="17" t="s">
        <v>51</v>
      </c>
      <c r="J534" s="17">
        <v>34378300</v>
      </c>
      <c r="K534" s="17" t="s">
        <v>86</v>
      </c>
      <c r="L534" s="17" t="s">
        <v>1580</v>
      </c>
      <c r="M534" s="18">
        <v>11200</v>
      </c>
    </row>
    <row r="535" spans="1:13" ht="360" x14ac:dyDescent="0.25">
      <c r="A535" s="17" t="str">
        <f>HYPERLINK("https://my.zakupivli.pro/remote/dispatcher/state_purchase_view/46471534", "UA-2023-11-07-016319-a")</f>
        <v>UA-2023-11-07-016319-a</v>
      </c>
      <c r="B535" s="17" t="s">
        <v>56</v>
      </c>
      <c r="C535" s="17" t="s">
        <v>1611</v>
      </c>
      <c r="D535" s="17" t="s">
        <v>223</v>
      </c>
      <c r="E535" s="22">
        <v>45268</v>
      </c>
      <c r="F535" s="17">
        <v>535</v>
      </c>
      <c r="G535" s="17" t="s">
        <v>1678</v>
      </c>
      <c r="H535" s="23">
        <v>4054334</v>
      </c>
      <c r="I535" s="17" t="s">
        <v>51</v>
      </c>
      <c r="J535" s="17">
        <v>37976553</v>
      </c>
      <c r="K535" s="17" t="s">
        <v>1642</v>
      </c>
      <c r="L535" s="17" t="s">
        <v>1581</v>
      </c>
      <c r="M535" s="18">
        <v>964047</v>
      </c>
    </row>
    <row r="536" spans="1:13" ht="150" x14ac:dyDescent="0.25">
      <c r="A536" s="17" t="str">
        <f>HYPERLINK("https://my.zakupivli.pro/remote/dispatcher/state_purchase_view/46953912", "UA-2023-11-24-001271-a")</f>
        <v>UA-2023-11-24-001271-a</v>
      </c>
      <c r="B536" s="17" t="s">
        <v>332</v>
      </c>
      <c r="C536" s="17" t="s">
        <v>1612</v>
      </c>
      <c r="D536" s="17" t="s">
        <v>1572</v>
      </c>
      <c r="E536" s="22">
        <v>45271</v>
      </c>
      <c r="F536" s="17">
        <v>536</v>
      </c>
      <c r="G536" s="17">
        <v>118230</v>
      </c>
      <c r="H536" s="23">
        <v>4054334</v>
      </c>
      <c r="I536" s="17" t="s">
        <v>51</v>
      </c>
      <c r="J536" s="17">
        <v>43950035</v>
      </c>
      <c r="K536" s="17" t="s">
        <v>1643</v>
      </c>
      <c r="L536" s="17" t="s">
        <v>1582</v>
      </c>
      <c r="M536" s="18">
        <v>9999900</v>
      </c>
    </row>
    <row r="537" spans="1:13" s="4" customFormat="1" ht="60" x14ac:dyDescent="0.25">
      <c r="A537" s="17" t="s">
        <v>1658</v>
      </c>
      <c r="B537" s="17"/>
      <c r="C537" s="17"/>
      <c r="D537" s="13" t="s">
        <v>225</v>
      </c>
      <c r="E537" s="22">
        <v>45271</v>
      </c>
      <c r="F537" s="17">
        <v>537</v>
      </c>
      <c r="G537" s="17">
        <v>110150</v>
      </c>
      <c r="H537" s="23">
        <v>4054334</v>
      </c>
      <c r="I537" s="17" t="s">
        <v>51</v>
      </c>
      <c r="J537" s="17">
        <v>33093799</v>
      </c>
      <c r="K537" s="17" t="s">
        <v>291</v>
      </c>
      <c r="L537" s="17"/>
      <c r="M537" s="18">
        <v>1</v>
      </c>
    </row>
    <row r="538" spans="1:13" ht="120" x14ac:dyDescent="0.25">
      <c r="A538" s="17" t="str">
        <f>HYPERLINK("https://my.zakupivli.pro/remote/dispatcher/state_purchase_view/47561105", "UA-2023-12-13-003481-a")</f>
        <v>UA-2023-12-13-003481-a</v>
      </c>
      <c r="B538" s="17" t="s">
        <v>12</v>
      </c>
      <c r="C538" s="17" t="s">
        <v>1613</v>
      </c>
      <c r="D538" s="13" t="s">
        <v>225</v>
      </c>
      <c r="E538" s="22">
        <v>45271</v>
      </c>
      <c r="F538" s="17">
        <v>538</v>
      </c>
      <c r="G538" s="17">
        <v>110150</v>
      </c>
      <c r="H538" s="23">
        <v>4054334</v>
      </c>
      <c r="I538" s="17" t="s">
        <v>51</v>
      </c>
      <c r="J538" s="17">
        <v>2954112843</v>
      </c>
      <c r="K538" s="17" t="s">
        <v>1644</v>
      </c>
      <c r="L538" s="17" t="s">
        <v>1583</v>
      </c>
      <c r="M538" s="18">
        <v>18000</v>
      </c>
    </row>
    <row r="539" spans="1:13" ht="60" x14ac:dyDescent="0.25">
      <c r="A539" s="17" t="str">
        <f>HYPERLINK("https://my.zakupivli.pro/remote/dispatcher/state_purchase_view/47560730", "UA-2023-12-13-003328-a")</f>
        <v>UA-2023-12-13-003328-a</v>
      </c>
      <c r="B539" s="17" t="s">
        <v>440</v>
      </c>
      <c r="C539" s="17" t="s">
        <v>1412</v>
      </c>
      <c r="D539" s="17" t="s">
        <v>223</v>
      </c>
      <c r="E539" s="22">
        <v>45271</v>
      </c>
      <c r="F539" s="17">
        <v>539</v>
      </c>
      <c r="G539" s="17">
        <v>117693</v>
      </c>
      <c r="H539" s="23">
        <v>4054334</v>
      </c>
      <c r="I539" s="17" t="s">
        <v>51</v>
      </c>
      <c r="J539" s="17">
        <v>2884311793</v>
      </c>
      <c r="K539" s="17" t="s">
        <v>1060</v>
      </c>
      <c r="L539" s="17" t="s">
        <v>1512</v>
      </c>
      <c r="M539" s="18">
        <v>19750</v>
      </c>
    </row>
    <row r="540" spans="1:13" ht="90" x14ac:dyDescent="0.25">
      <c r="A540" s="17" t="str">
        <f>HYPERLINK("https://my.zakupivli.pro/remote/dispatcher/state_purchase_view/47560343", "UA-2023-12-13-003246-a")</f>
        <v>UA-2023-12-13-003246-a</v>
      </c>
      <c r="B540" s="17" t="s">
        <v>1222</v>
      </c>
      <c r="C540" s="17" t="s">
        <v>1614</v>
      </c>
      <c r="D540" s="17" t="s">
        <v>1671</v>
      </c>
      <c r="E540" s="22">
        <v>45271</v>
      </c>
      <c r="F540" s="17">
        <v>540</v>
      </c>
      <c r="G540" s="17">
        <v>110180</v>
      </c>
      <c r="H540" s="23">
        <v>4054334</v>
      </c>
      <c r="I540" s="17" t="s">
        <v>51</v>
      </c>
      <c r="J540" s="17">
        <v>39787008</v>
      </c>
      <c r="K540" s="17" t="s">
        <v>1645</v>
      </c>
      <c r="L540" s="17" t="s">
        <v>1584</v>
      </c>
      <c r="M540" s="18">
        <v>1822.5</v>
      </c>
    </row>
    <row r="541" spans="1:13" ht="105" x14ac:dyDescent="0.25">
      <c r="A541" s="17" t="str">
        <f>HYPERLINK("https://my.zakupivli.pro/remote/dispatcher/state_purchase_view/47614232", "UA-2023-12-14-004407-a")</f>
        <v>UA-2023-12-14-004407-a</v>
      </c>
      <c r="B541" s="17" t="s">
        <v>45</v>
      </c>
      <c r="C541" s="17" t="s">
        <v>1615</v>
      </c>
      <c r="D541" s="13" t="s">
        <v>225</v>
      </c>
      <c r="E541" s="22">
        <v>45271</v>
      </c>
      <c r="F541" s="17">
        <v>541</v>
      </c>
      <c r="G541" s="17">
        <v>110150</v>
      </c>
      <c r="H541" s="23">
        <v>4054334</v>
      </c>
      <c r="I541" s="17" t="s">
        <v>51</v>
      </c>
      <c r="J541" s="17">
        <v>39075822</v>
      </c>
      <c r="K541" s="17" t="s">
        <v>1457</v>
      </c>
      <c r="L541" s="17" t="s">
        <v>1585</v>
      </c>
      <c r="M541" s="18">
        <v>96600</v>
      </c>
    </row>
    <row r="542" spans="1:13" ht="105" x14ac:dyDescent="0.25">
      <c r="A542" s="17" t="str">
        <f>HYPERLINK("https://my.zakupivli.pro/remote/dispatcher/state_purchase_view/47650833", "UA-2023-12-14-020940-a")</f>
        <v>UA-2023-12-14-020940-a</v>
      </c>
      <c r="B542" s="17" t="s">
        <v>362</v>
      </c>
      <c r="C542" s="17" t="s">
        <v>1616</v>
      </c>
      <c r="D542" s="13" t="s">
        <v>225</v>
      </c>
      <c r="E542" s="22">
        <v>45274</v>
      </c>
      <c r="F542" s="17">
        <v>542</v>
      </c>
      <c r="G542" s="17">
        <v>118230</v>
      </c>
      <c r="H542" s="23">
        <v>4054334</v>
      </c>
      <c r="I542" s="17" t="s">
        <v>51</v>
      </c>
      <c r="J542" s="17">
        <v>33932580</v>
      </c>
      <c r="K542" s="17" t="s">
        <v>535</v>
      </c>
      <c r="L542" s="17" t="s">
        <v>1586</v>
      </c>
      <c r="M542" s="18">
        <v>41654.6</v>
      </c>
    </row>
    <row r="543" spans="1:13" s="4" customFormat="1" ht="210" x14ac:dyDescent="0.25">
      <c r="A543" s="17" t="s">
        <v>1656</v>
      </c>
      <c r="B543" s="17" t="s">
        <v>433</v>
      </c>
      <c r="C543" s="17" t="s">
        <v>1609</v>
      </c>
      <c r="D543" s="17" t="s">
        <v>223</v>
      </c>
      <c r="E543" s="22">
        <v>45274</v>
      </c>
      <c r="F543" s="17">
        <v>543</v>
      </c>
      <c r="G543" s="17">
        <v>118230</v>
      </c>
      <c r="H543" s="23">
        <v>4054334</v>
      </c>
      <c r="I543" s="17" t="s">
        <v>51</v>
      </c>
      <c r="J543" s="17">
        <v>3326013228</v>
      </c>
      <c r="K543" s="17" t="s">
        <v>1641</v>
      </c>
      <c r="L543" s="17" t="s">
        <v>1579</v>
      </c>
      <c r="M543" s="34">
        <v>-239767</v>
      </c>
    </row>
    <row r="544" spans="1:13" ht="60" x14ac:dyDescent="0.25">
      <c r="A544" s="17" t="str">
        <f>HYPERLINK("https://my.zakupivli.pro/remote/dispatcher/state_purchase_view/47647259", "UA-2023-12-14-019324-a")</f>
        <v>UA-2023-12-14-019324-a</v>
      </c>
      <c r="B544" s="17" t="s">
        <v>1161</v>
      </c>
      <c r="C544" s="17" t="s">
        <v>1617</v>
      </c>
      <c r="D544" s="17" t="s">
        <v>223</v>
      </c>
      <c r="E544" s="22">
        <v>45274</v>
      </c>
      <c r="F544" s="17">
        <v>544</v>
      </c>
      <c r="G544" s="17">
        <v>118230</v>
      </c>
      <c r="H544" s="23">
        <v>4054334</v>
      </c>
      <c r="I544" s="17" t="s">
        <v>51</v>
      </c>
      <c r="J544" s="17">
        <v>43543958</v>
      </c>
      <c r="K544" s="17" t="s">
        <v>1646</v>
      </c>
      <c r="L544" s="17" t="s">
        <v>1587</v>
      </c>
      <c r="M544" s="18">
        <v>515.02</v>
      </c>
    </row>
    <row r="545" spans="1:13" ht="75" x14ac:dyDescent="0.25">
      <c r="A545" s="17" t="str">
        <f>HYPERLINK("https://my.zakupivli.pro/remote/dispatcher/state_purchase_view/47648294", "UA-2023-12-14-019822-a")</f>
        <v>UA-2023-12-14-019822-a</v>
      </c>
      <c r="B545" s="17" t="s">
        <v>1368</v>
      </c>
      <c r="C545" s="17" t="s">
        <v>1618</v>
      </c>
      <c r="D545" s="17" t="s">
        <v>223</v>
      </c>
      <c r="E545" s="22">
        <v>45274</v>
      </c>
      <c r="F545" s="17">
        <v>545</v>
      </c>
      <c r="G545" s="17">
        <v>118230</v>
      </c>
      <c r="H545" s="23">
        <v>4054334</v>
      </c>
      <c r="I545" s="17" t="s">
        <v>51</v>
      </c>
      <c r="J545" s="17">
        <v>43543958</v>
      </c>
      <c r="K545" s="17" t="s">
        <v>1646</v>
      </c>
      <c r="L545" s="17" t="s">
        <v>1588</v>
      </c>
      <c r="M545" s="18">
        <v>5190.6400000000003</v>
      </c>
    </row>
    <row r="546" spans="1:13" ht="105" x14ac:dyDescent="0.25">
      <c r="A546" s="17" t="str">
        <f>HYPERLINK("https://my.zakupivli.pro/remote/dispatcher/state_purchase_view/47649702", "UA-2023-12-14-020446-a")</f>
        <v>UA-2023-12-14-020446-a</v>
      </c>
      <c r="B546" s="17" t="s">
        <v>1369</v>
      </c>
      <c r="C546" s="17" t="s">
        <v>1619</v>
      </c>
      <c r="D546" s="17" t="s">
        <v>223</v>
      </c>
      <c r="E546" s="22">
        <v>45274</v>
      </c>
      <c r="F546" s="17">
        <v>546</v>
      </c>
      <c r="G546" s="17">
        <v>118230</v>
      </c>
      <c r="H546" s="23">
        <v>4054334</v>
      </c>
      <c r="I546" s="17" t="s">
        <v>51</v>
      </c>
      <c r="J546" s="17">
        <v>43543958</v>
      </c>
      <c r="K546" s="17" t="s">
        <v>1646</v>
      </c>
      <c r="L546" s="17" t="s">
        <v>1589</v>
      </c>
      <c r="M546" s="18">
        <v>1743.97</v>
      </c>
    </row>
    <row r="547" spans="1:13" ht="90" x14ac:dyDescent="0.25">
      <c r="A547" s="17" t="str">
        <f>HYPERLINK("https://my.zakupivli.pro/remote/dispatcher/state_purchase_view/47650526", "UA-2023-12-14-020788-a")</f>
        <v>UA-2023-12-14-020788-a</v>
      </c>
      <c r="B547" s="17" t="s">
        <v>1371</v>
      </c>
      <c r="C547" s="17" t="s">
        <v>1620</v>
      </c>
      <c r="D547" s="17" t="s">
        <v>223</v>
      </c>
      <c r="E547" s="22">
        <v>45274</v>
      </c>
      <c r="F547" s="17">
        <v>547</v>
      </c>
      <c r="G547" s="17">
        <v>118230</v>
      </c>
      <c r="H547" s="23">
        <v>4054334</v>
      </c>
      <c r="I547" s="17" t="s">
        <v>51</v>
      </c>
      <c r="J547" s="17">
        <v>43543958</v>
      </c>
      <c r="K547" s="17" t="s">
        <v>1646</v>
      </c>
      <c r="L547" s="17" t="s">
        <v>1590</v>
      </c>
      <c r="M547" s="18">
        <v>10554.05</v>
      </c>
    </row>
    <row r="548" spans="1:13" ht="180" x14ac:dyDescent="0.25">
      <c r="A548" s="17" t="str">
        <f>HYPERLINK("https://my.zakupivli.pro/remote/dispatcher/state_purchase_view/47685731", "UA-2023-12-15-012655-a")</f>
        <v>UA-2023-12-15-012655-a</v>
      </c>
      <c r="B548" s="17" t="s">
        <v>433</v>
      </c>
      <c r="C548" s="17" t="s">
        <v>1621</v>
      </c>
      <c r="D548" s="17" t="s">
        <v>223</v>
      </c>
      <c r="E548" s="22">
        <v>45275</v>
      </c>
      <c r="F548" s="17">
        <v>548</v>
      </c>
      <c r="G548" s="17">
        <v>118230</v>
      </c>
      <c r="H548" s="23">
        <v>4054334</v>
      </c>
      <c r="I548" s="17" t="s">
        <v>51</v>
      </c>
      <c r="J548" s="17">
        <v>3326013228</v>
      </c>
      <c r="K548" s="17" t="s">
        <v>1641</v>
      </c>
      <c r="L548" s="17" t="s">
        <v>1591</v>
      </c>
      <c r="M548" s="18">
        <v>239767</v>
      </c>
    </row>
    <row r="549" spans="1:13" ht="90" x14ac:dyDescent="0.25">
      <c r="A549" s="17" t="str">
        <f>HYPERLINK("https://my.zakupivli.pro/remote/dispatcher/state_purchase_view/47754389", "UA-2023-12-18-017649-a")</f>
        <v>UA-2023-12-18-017649-a</v>
      </c>
      <c r="B549" s="17" t="s">
        <v>1636</v>
      </c>
      <c r="C549" s="17" t="s">
        <v>1622</v>
      </c>
      <c r="D549" s="18" t="s">
        <v>225</v>
      </c>
      <c r="E549" s="22">
        <v>45275</v>
      </c>
      <c r="F549" s="17">
        <v>549</v>
      </c>
      <c r="G549" s="17">
        <v>110150</v>
      </c>
      <c r="H549" s="23">
        <v>4054334</v>
      </c>
      <c r="I549" s="17" t="s">
        <v>51</v>
      </c>
      <c r="J549" s="17">
        <v>2465210413</v>
      </c>
      <c r="K549" s="17" t="s">
        <v>1647</v>
      </c>
      <c r="L549" s="17" t="s">
        <v>1592</v>
      </c>
      <c r="M549" s="18">
        <v>1500</v>
      </c>
    </row>
    <row r="550" spans="1:13" ht="75" x14ac:dyDescent="0.25">
      <c r="A550" s="17" t="str">
        <f>HYPERLINK("https://my.zakupivli.pro/remote/dispatcher/state_purchase_view/47754742", "UA-2023-12-18-017807-a")</f>
        <v>UA-2023-12-18-017807-a</v>
      </c>
      <c r="B550" s="17" t="s">
        <v>1025</v>
      </c>
      <c r="C550" s="17" t="s">
        <v>1156</v>
      </c>
      <c r="D550" s="18" t="s">
        <v>225</v>
      </c>
      <c r="E550" s="22">
        <v>45275</v>
      </c>
      <c r="F550" s="17">
        <v>550</v>
      </c>
      <c r="G550" s="17">
        <v>110150</v>
      </c>
      <c r="H550" s="23">
        <v>4054334</v>
      </c>
      <c r="I550" s="17" t="s">
        <v>51</v>
      </c>
      <c r="J550" s="17">
        <v>1728903753</v>
      </c>
      <c r="K550" s="17" t="s">
        <v>1648</v>
      </c>
      <c r="L550" s="17" t="s">
        <v>1593</v>
      </c>
      <c r="M550" s="18">
        <v>1900</v>
      </c>
    </row>
    <row r="551" spans="1:13" ht="90" x14ac:dyDescent="0.25">
      <c r="A551" s="17" t="str">
        <f>HYPERLINK("https://my.zakupivli.pro/remote/dispatcher/state_purchase_view/47753830", "UA-2023-12-18-017448-a")</f>
        <v>UA-2023-12-18-017448-a</v>
      </c>
      <c r="B551" s="17" t="s">
        <v>1637</v>
      </c>
      <c r="C551" s="17" t="s">
        <v>1623</v>
      </c>
      <c r="D551" s="18" t="s">
        <v>225</v>
      </c>
      <c r="E551" s="22">
        <v>45275</v>
      </c>
      <c r="F551" s="17">
        <v>551</v>
      </c>
      <c r="G551" s="17">
        <v>110150</v>
      </c>
      <c r="H551" s="23">
        <v>4054334</v>
      </c>
      <c r="I551" s="17" t="s">
        <v>51</v>
      </c>
      <c r="J551" s="17">
        <v>2619003137</v>
      </c>
      <c r="K551" s="17" t="s">
        <v>1649</v>
      </c>
      <c r="L551" s="17" t="s">
        <v>1594</v>
      </c>
      <c r="M551" s="18">
        <v>4510</v>
      </c>
    </row>
    <row r="552" spans="1:13" s="4" customFormat="1" ht="105" x14ac:dyDescent="0.25">
      <c r="A552" s="17" t="s">
        <v>1659</v>
      </c>
      <c r="B552" s="17" t="s">
        <v>45</v>
      </c>
      <c r="C552" s="17" t="s">
        <v>374</v>
      </c>
      <c r="D552" s="18" t="s">
        <v>225</v>
      </c>
      <c r="E552" s="22">
        <v>45275</v>
      </c>
      <c r="F552" s="23">
        <v>552</v>
      </c>
      <c r="G552" s="33">
        <v>118230</v>
      </c>
      <c r="H552" s="17" t="s">
        <v>50</v>
      </c>
      <c r="I552" s="17" t="s">
        <v>51</v>
      </c>
      <c r="J552" s="23">
        <v>3138505777</v>
      </c>
      <c r="K552" s="17" t="s">
        <v>375</v>
      </c>
      <c r="L552" s="17" t="s">
        <v>376</v>
      </c>
      <c r="M552" s="18">
        <v>386975.24</v>
      </c>
    </row>
    <row r="553" spans="1:13" ht="180" x14ac:dyDescent="0.25">
      <c r="A553" s="17" t="str">
        <f>HYPERLINK("https://my.zakupivli.pro/remote/dispatcher/state_purchase_view/46821961", "UA-2023-11-20-017405-a")</f>
        <v>UA-2023-11-20-017405-a</v>
      </c>
      <c r="B553" s="17" t="s">
        <v>332</v>
      </c>
      <c r="C553" s="17" t="s">
        <v>1624</v>
      </c>
      <c r="D553" s="17" t="s">
        <v>1572</v>
      </c>
      <c r="E553" s="22">
        <v>45275</v>
      </c>
      <c r="F553" s="17">
        <v>553</v>
      </c>
      <c r="G553" s="17">
        <v>118240</v>
      </c>
      <c r="H553" s="23">
        <v>4054334</v>
      </c>
      <c r="I553" s="17" t="s">
        <v>51</v>
      </c>
      <c r="J553" s="17">
        <v>42855563</v>
      </c>
      <c r="K553" s="17" t="s">
        <v>1650</v>
      </c>
      <c r="L553" s="17" t="s">
        <v>1595</v>
      </c>
      <c r="M553" s="18">
        <v>1925000</v>
      </c>
    </row>
    <row r="554" spans="1:13" s="4" customFormat="1" ht="165" x14ac:dyDescent="0.25">
      <c r="A554" s="17" t="s">
        <v>1660</v>
      </c>
      <c r="B554" s="17" t="s">
        <v>31</v>
      </c>
      <c r="C554" s="17" t="s">
        <v>390</v>
      </c>
      <c r="D554" s="18" t="s">
        <v>225</v>
      </c>
      <c r="E554" s="22">
        <v>45275</v>
      </c>
      <c r="F554" s="23">
        <v>554</v>
      </c>
      <c r="G554" s="33">
        <v>118230</v>
      </c>
      <c r="H554" s="17" t="s">
        <v>50</v>
      </c>
      <c r="I554" s="17" t="s">
        <v>51</v>
      </c>
      <c r="J554" s="23">
        <v>2461019017</v>
      </c>
      <c r="K554" s="17" t="s">
        <v>70</v>
      </c>
      <c r="L554" s="17" t="s">
        <v>391</v>
      </c>
      <c r="M554" s="18">
        <v>4856</v>
      </c>
    </row>
    <row r="555" spans="1:13" ht="60" x14ac:dyDescent="0.25">
      <c r="A555" s="17" t="str">
        <f>HYPERLINK("https://my.zakupivli.pro/remote/dispatcher/state_purchase_view/47845587", "UA-2023-12-20-010174-a")</f>
        <v>UA-2023-12-20-010174-a</v>
      </c>
      <c r="B555" s="17" t="s">
        <v>368</v>
      </c>
      <c r="C555" s="17" t="s">
        <v>1019</v>
      </c>
      <c r="D555" s="17" t="s">
        <v>223</v>
      </c>
      <c r="E555" s="22">
        <v>45275</v>
      </c>
      <c r="F555" s="17">
        <v>555</v>
      </c>
      <c r="G555" s="17">
        <v>118240</v>
      </c>
      <c r="H555" s="23">
        <v>4054334</v>
      </c>
      <c r="I555" s="17" t="s">
        <v>51</v>
      </c>
      <c r="J555" s="17">
        <v>3031505383</v>
      </c>
      <c r="K555" s="17" t="s">
        <v>1651</v>
      </c>
      <c r="L555" s="17" t="s">
        <v>1596</v>
      </c>
      <c r="M555" s="18">
        <v>445000</v>
      </c>
    </row>
    <row r="556" spans="1:13" s="4" customFormat="1" ht="75" x14ac:dyDescent="0.25">
      <c r="A556" s="17" t="s">
        <v>1664</v>
      </c>
      <c r="B556" s="17"/>
      <c r="C556" s="17"/>
      <c r="D556" s="18" t="s">
        <v>225</v>
      </c>
      <c r="E556" s="22">
        <v>45278</v>
      </c>
      <c r="F556" s="17">
        <v>556</v>
      </c>
      <c r="G556" s="17">
        <v>110150</v>
      </c>
      <c r="H556" s="23">
        <v>4054334</v>
      </c>
      <c r="I556" s="17" t="s">
        <v>51</v>
      </c>
      <c r="J556" s="17">
        <v>44859262</v>
      </c>
      <c r="K556" s="17" t="s">
        <v>1661</v>
      </c>
      <c r="L556" s="17"/>
      <c r="M556" s="18"/>
    </row>
    <row r="557" spans="1:13" s="4" customFormat="1" ht="41.25" customHeight="1" x14ac:dyDescent="0.25">
      <c r="A557" s="17" t="s">
        <v>1534</v>
      </c>
      <c r="B557" s="17"/>
      <c r="C557" s="17"/>
      <c r="D557" s="18" t="s">
        <v>225</v>
      </c>
      <c r="E557" s="22">
        <v>45279</v>
      </c>
      <c r="F557" s="17">
        <v>557</v>
      </c>
      <c r="G557" s="28">
        <v>117610</v>
      </c>
      <c r="H557" s="23">
        <v>4054334</v>
      </c>
      <c r="I557" s="17" t="s">
        <v>51</v>
      </c>
      <c r="J557" s="23">
        <v>40430546</v>
      </c>
      <c r="K557" s="17" t="s">
        <v>550</v>
      </c>
      <c r="L557" s="17"/>
      <c r="M557" s="18">
        <v>781482</v>
      </c>
    </row>
    <row r="558" spans="1:13" ht="75" x14ac:dyDescent="0.25">
      <c r="A558" s="17" t="str">
        <f>HYPERLINK("https://my.zakupivli.pro/remote/dispatcher/state_purchase_view/47808365", "UA-2023-12-19-017948-a")</f>
        <v>UA-2023-12-19-017948-a</v>
      </c>
      <c r="B558" s="17" t="s">
        <v>17</v>
      </c>
      <c r="C558" s="17" t="s">
        <v>1625</v>
      </c>
      <c r="D558" s="17" t="s">
        <v>1672</v>
      </c>
      <c r="E558" s="22">
        <v>45279</v>
      </c>
      <c r="F558" s="17">
        <v>558</v>
      </c>
      <c r="G558" s="17">
        <v>110150</v>
      </c>
      <c r="H558" s="23">
        <v>4054334</v>
      </c>
      <c r="I558" s="17" t="s">
        <v>51</v>
      </c>
      <c r="J558" s="17">
        <v>32148690</v>
      </c>
      <c r="K558" s="17" t="s">
        <v>162</v>
      </c>
      <c r="L558" s="17" t="s">
        <v>1597</v>
      </c>
      <c r="M558" s="18">
        <v>2180.96</v>
      </c>
    </row>
    <row r="559" spans="1:13" ht="90" x14ac:dyDescent="0.25">
      <c r="A559" s="17" t="str">
        <f>HYPERLINK("https://my.zakupivli.pro/remote/dispatcher/state_purchase_view/47807275", "UA-2023-12-19-017469-a")</f>
        <v>UA-2023-12-19-017469-a</v>
      </c>
      <c r="B559" s="17" t="s">
        <v>18</v>
      </c>
      <c r="C559" s="17" t="s">
        <v>1626</v>
      </c>
      <c r="D559" s="17" t="s">
        <v>1672</v>
      </c>
      <c r="E559" s="22">
        <v>45279</v>
      </c>
      <c r="F559" s="17">
        <v>559</v>
      </c>
      <c r="G559" s="17">
        <v>110150</v>
      </c>
      <c r="H559" s="23">
        <v>4054334</v>
      </c>
      <c r="I559" s="17" t="s">
        <v>51</v>
      </c>
      <c r="J559" s="17">
        <v>32148690</v>
      </c>
      <c r="K559" s="17" t="s">
        <v>162</v>
      </c>
      <c r="L559" s="17" t="s">
        <v>1598</v>
      </c>
      <c r="M559" s="18">
        <v>1108.54</v>
      </c>
    </row>
    <row r="560" spans="1:13" ht="75" x14ac:dyDescent="0.25">
      <c r="A560" s="17" t="str">
        <f>HYPERLINK("https://my.zakupivli.pro/remote/dispatcher/state_purchase_view/47810377", "UA-2023-12-19-018828-a")</f>
        <v>UA-2023-12-19-018828-a</v>
      </c>
      <c r="B560" s="17" t="s">
        <v>12</v>
      </c>
      <c r="C560" s="17" t="s">
        <v>1627</v>
      </c>
      <c r="D560" s="18" t="s">
        <v>225</v>
      </c>
      <c r="E560" s="22">
        <v>45279</v>
      </c>
      <c r="F560" s="17">
        <v>560</v>
      </c>
      <c r="G560" s="17">
        <v>110150</v>
      </c>
      <c r="H560" s="23">
        <v>4054334</v>
      </c>
      <c r="I560" s="17" t="s">
        <v>51</v>
      </c>
      <c r="J560" s="17">
        <v>2492611118</v>
      </c>
      <c r="K560" s="17" t="s">
        <v>1473</v>
      </c>
      <c r="L560" s="17" t="s">
        <v>1599</v>
      </c>
      <c r="M560" s="18">
        <v>7600</v>
      </c>
    </row>
    <row r="561" spans="1:13" s="4" customFormat="1" ht="165" x14ac:dyDescent="0.25">
      <c r="A561" s="17" t="s">
        <v>1662</v>
      </c>
      <c r="B561" s="17" t="s">
        <v>31</v>
      </c>
      <c r="C561" s="17" t="s">
        <v>1416</v>
      </c>
      <c r="D561" s="18" t="s">
        <v>225</v>
      </c>
      <c r="E561" s="22">
        <v>45279</v>
      </c>
      <c r="F561" s="23">
        <v>561</v>
      </c>
      <c r="G561" s="17">
        <v>118230</v>
      </c>
      <c r="H561" s="23">
        <v>4054334</v>
      </c>
      <c r="I561" s="17" t="s">
        <v>51</v>
      </c>
      <c r="J561" s="17" t="s">
        <v>69</v>
      </c>
      <c r="K561" s="17" t="s">
        <v>70</v>
      </c>
      <c r="L561" s="17" t="s">
        <v>1516</v>
      </c>
      <c r="M561" s="18">
        <v>13424.56</v>
      </c>
    </row>
    <row r="562" spans="1:13" s="4" customFormat="1" ht="105" x14ac:dyDescent="0.25">
      <c r="A562" s="17" t="s">
        <v>1663</v>
      </c>
      <c r="B562" s="17" t="s">
        <v>362</v>
      </c>
      <c r="C562" s="17" t="s">
        <v>1414</v>
      </c>
      <c r="D562" s="18" t="s">
        <v>225</v>
      </c>
      <c r="E562" s="22">
        <v>45280</v>
      </c>
      <c r="F562" s="23">
        <v>562</v>
      </c>
      <c r="G562" s="17">
        <v>118230</v>
      </c>
      <c r="H562" s="23">
        <v>4054334</v>
      </c>
      <c r="I562" s="17" t="s">
        <v>51</v>
      </c>
      <c r="J562" s="17" t="s">
        <v>1448</v>
      </c>
      <c r="K562" s="17" t="s">
        <v>1469</v>
      </c>
      <c r="L562" s="17" t="s">
        <v>1514</v>
      </c>
      <c r="M562" s="18">
        <v>912358.57</v>
      </c>
    </row>
    <row r="563" spans="1:13" ht="195" x14ac:dyDescent="0.25">
      <c r="A563" s="17" t="str">
        <f>HYPERLINK("https://my.zakupivli.pro/remote/dispatcher/state_purchase_view/46989172", "UA-2023-11-24-017210-a")</f>
        <v>UA-2023-11-24-017210-a</v>
      </c>
      <c r="B563" s="17" t="s">
        <v>13</v>
      </c>
      <c r="C563" s="17" t="s">
        <v>1628</v>
      </c>
      <c r="D563" s="18" t="s">
        <v>225</v>
      </c>
      <c r="E563" s="22">
        <v>45280</v>
      </c>
      <c r="F563" s="17">
        <v>563</v>
      </c>
      <c r="G563" s="17">
        <v>110150</v>
      </c>
      <c r="H563" s="23">
        <v>4054334</v>
      </c>
      <c r="I563" s="17" t="s">
        <v>51</v>
      </c>
      <c r="J563" s="17">
        <v>35635588</v>
      </c>
      <c r="K563" s="17" t="s">
        <v>1652</v>
      </c>
      <c r="L563" s="17" t="s">
        <v>1600</v>
      </c>
      <c r="M563" s="18">
        <v>740000</v>
      </c>
    </row>
    <row r="564" spans="1:13" ht="75" x14ac:dyDescent="0.25">
      <c r="A564" s="17" t="str">
        <f>HYPERLINK("https://my.zakupivli.pro/remote/dispatcher/state_purchase_view/48053501", "UA-2023-12-26-014731-a")</f>
        <v>UA-2023-12-26-014731-a</v>
      </c>
      <c r="B564" s="17" t="s">
        <v>1373</v>
      </c>
      <c r="C564" s="17" t="s">
        <v>1629</v>
      </c>
      <c r="D564" s="17" t="s">
        <v>1572</v>
      </c>
      <c r="E564" s="22">
        <v>45282</v>
      </c>
      <c r="F564" s="17">
        <v>564</v>
      </c>
      <c r="G564" s="17">
        <v>118230</v>
      </c>
      <c r="H564" s="23">
        <v>4054334</v>
      </c>
      <c r="I564" s="17" t="s">
        <v>51</v>
      </c>
      <c r="J564" s="17">
        <v>3341616539</v>
      </c>
      <c r="K564" s="17" t="s">
        <v>1653</v>
      </c>
      <c r="L564" s="17" t="s">
        <v>1601</v>
      </c>
      <c r="M564" s="18">
        <v>289000</v>
      </c>
    </row>
    <row r="565" spans="1:13" ht="75" x14ac:dyDescent="0.25">
      <c r="A565" s="17" t="str">
        <f>HYPERLINK("https://my.zakupivli.pro/remote/dispatcher/state_purchase_view/48053316", "UA-2023-12-26-014651-a")</f>
        <v>UA-2023-12-26-014651-a</v>
      </c>
      <c r="B565" s="17" t="s">
        <v>1370</v>
      </c>
      <c r="C565" s="17" t="s">
        <v>1630</v>
      </c>
      <c r="D565" s="17" t="s">
        <v>1572</v>
      </c>
      <c r="E565" s="22">
        <v>45285</v>
      </c>
      <c r="F565" s="17">
        <v>565</v>
      </c>
      <c r="G565" s="17">
        <v>118230</v>
      </c>
      <c r="H565" s="23">
        <v>4054334</v>
      </c>
      <c r="I565" s="17" t="s">
        <v>51</v>
      </c>
      <c r="J565" s="17">
        <v>2987311026</v>
      </c>
      <c r="K565" s="17" t="s">
        <v>1471</v>
      </c>
      <c r="L565" s="17" t="s">
        <v>1521</v>
      </c>
      <c r="M565" s="18">
        <v>200597.2</v>
      </c>
    </row>
    <row r="566" spans="1:13" ht="75" x14ac:dyDescent="0.25">
      <c r="A566" s="17" t="str">
        <f>HYPERLINK("https://my.zakupivli.pro/remote/dispatcher/state_purchase_view/48053112", "UA-2023-12-26-014575-a")</f>
        <v>UA-2023-12-26-014575-a</v>
      </c>
      <c r="B566" s="17" t="s">
        <v>368</v>
      </c>
      <c r="C566" s="17" t="s">
        <v>1419</v>
      </c>
      <c r="D566" s="17" t="s">
        <v>1572</v>
      </c>
      <c r="E566" s="22">
        <v>45285</v>
      </c>
      <c r="F566" s="17">
        <v>566</v>
      </c>
      <c r="G566" s="17">
        <v>118230</v>
      </c>
      <c r="H566" s="23">
        <v>4054334</v>
      </c>
      <c r="I566" s="17" t="s">
        <v>51</v>
      </c>
      <c r="J566" s="17">
        <v>2987311026</v>
      </c>
      <c r="K566" s="17" t="s">
        <v>1471</v>
      </c>
      <c r="L566" s="17" t="s">
        <v>1520</v>
      </c>
      <c r="M566" s="18">
        <v>177108</v>
      </c>
    </row>
    <row r="567" spans="1:13" ht="409.5" x14ac:dyDescent="0.25">
      <c r="A567" s="17" t="str">
        <f>HYPERLINK("https://my.zakupivli.pro/remote/dispatcher/state_purchase_view/48089397", "UA-2023-12-28-001136-a")</f>
        <v>UA-2023-12-28-001136-a</v>
      </c>
      <c r="B567" s="17" t="s">
        <v>566</v>
      </c>
      <c r="C567" s="17" t="s">
        <v>1631</v>
      </c>
      <c r="D567" s="17" t="s">
        <v>223</v>
      </c>
      <c r="E567" s="22">
        <v>45285</v>
      </c>
      <c r="F567" s="17">
        <v>567</v>
      </c>
      <c r="G567" s="17">
        <v>118230</v>
      </c>
      <c r="H567" s="23">
        <v>4054334</v>
      </c>
      <c r="I567" s="17" t="s">
        <v>51</v>
      </c>
      <c r="J567" s="17">
        <v>3068608743</v>
      </c>
      <c r="K567" s="17" t="s">
        <v>629</v>
      </c>
      <c r="L567" s="17" t="s">
        <v>627</v>
      </c>
      <c r="M567" s="18">
        <v>319483</v>
      </c>
    </row>
    <row r="568" spans="1:13" ht="120" x14ac:dyDescent="0.25">
      <c r="A568" s="17" t="str">
        <f>HYPERLINK("https://my.zakupivli.pro/remote/dispatcher/state_purchase_view/48052343", "UA-2023-12-26-014203-a")</f>
        <v>UA-2023-12-26-014203-a</v>
      </c>
      <c r="B568" s="17" t="s">
        <v>237</v>
      </c>
      <c r="C568" s="17" t="s">
        <v>1632</v>
      </c>
      <c r="D568" s="18" t="s">
        <v>225</v>
      </c>
      <c r="E568" s="22">
        <v>45285</v>
      </c>
      <c r="F568" s="17">
        <v>568</v>
      </c>
      <c r="G568" s="17">
        <v>118230</v>
      </c>
      <c r="H568" s="23">
        <v>4054334</v>
      </c>
      <c r="I568" s="17" t="s">
        <v>51</v>
      </c>
      <c r="J568" s="17">
        <v>31430142</v>
      </c>
      <c r="K568" s="17" t="s">
        <v>267</v>
      </c>
      <c r="L568" s="17" t="s">
        <v>1602</v>
      </c>
      <c r="M568" s="18">
        <v>139440</v>
      </c>
    </row>
    <row r="569" spans="1:13" ht="120" x14ac:dyDescent="0.25">
      <c r="A569" s="17" t="str">
        <f>HYPERLINK("https://my.zakupivli.pro/remote/dispatcher/state_purchase_view/47069873", "UA-2023-11-28-015415-a")</f>
        <v>UA-2023-11-28-015415-a</v>
      </c>
      <c r="B569" s="17" t="s">
        <v>1229</v>
      </c>
      <c r="C569" s="17" t="s">
        <v>44</v>
      </c>
      <c r="D569" s="17" t="s">
        <v>223</v>
      </c>
      <c r="E569" s="22">
        <v>45285</v>
      </c>
      <c r="F569" s="17">
        <v>569</v>
      </c>
      <c r="G569" s="17" t="s">
        <v>1679</v>
      </c>
      <c r="H569" s="23">
        <v>4054334</v>
      </c>
      <c r="I569" s="17" t="s">
        <v>51</v>
      </c>
      <c r="J569" s="17">
        <v>25551379</v>
      </c>
      <c r="K569" s="17" t="s">
        <v>542</v>
      </c>
      <c r="L569" s="17" t="s">
        <v>1603</v>
      </c>
      <c r="M569" s="18">
        <v>180952.2</v>
      </c>
    </row>
    <row r="570" spans="1:13" ht="105" x14ac:dyDescent="0.25">
      <c r="A570" s="17" t="str">
        <f>HYPERLINK("https://my.zakupivli.pro/remote/dispatcher/state_purchase_view/48089928", "UA-2023-12-28-001389-a")</f>
        <v>UA-2023-12-28-001389-a</v>
      </c>
      <c r="B570" s="17" t="s">
        <v>1638</v>
      </c>
      <c r="C570" s="17" t="s">
        <v>1633</v>
      </c>
      <c r="D570" s="18" t="s">
        <v>225</v>
      </c>
      <c r="E570" s="22">
        <v>45285</v>
      </c>
      <c r="F570" s="17">
        <v>570</v>
      </c>
      <c r="G570" s="17">
        <v>110180</v>
      </c>
      <c r="H570" s="23">
        <v>4054334</v>
      </c>
      <c r="I570" s="17" t="s">
        <v>51</v>
      </c>
      <c r="J570" s="17">
        <v>3139705029</v>
      </c>
      <c r="K570" s="17" t="s">
        <v>1654</v>
      </c>
      <c r="L570" s="17" t="s">
        <v>1604</v>
      </c>
      <c r="M570" s="18">
        <v>1455</v>
      </c>
    </row>
    <row r="571" spans="1:13" ht="75" x14ac:dyDescent="0.25">
      <c r="A571" s="17" t="str">
        <f>HYPERLINK("https://my.zakupivli.pro/remote/dispatcher/state_purchase_view/48098544", "UA-2023-12-28-005533-a")</f>
        <v>UA-2023-12-28-005533-a</v>
      </c>
      <c r="B571" s="17" t="s">
        <v>1639</v>
      </c>
      <c r="C571" s="17" t="s">
        <v>1634</v>
      </c>
      <c r="D571" s="18" t="s">
        <v>225</v>
      </c>
      <c r="E571" s="22">
        <v>45285</v>
      </c>
      <c r="F571" s="17">
        <v>571</v>
      </c>
      <c r="G571" s="17">
        <v>110180</v>
      </c>
      <c r="H571" s="23">
        <v>4054334</v>
      </c>
      <c r="I571" s="17" t="s">
        <v>51</v>
      </c>
      <c r="J571" s="17">
        <v>3573310146</v>
      </c>
      <c r="K571" s="17" t="s">
        <v>1655</v>
      </c>
      <c r="L571" s="17" t="s">
        <v>1605</v>
      </c>
      <c r="M571" s="18">
        <v>2785</v>
      </c>
    </row>
    <row r="572" spans="1:13" ht="90" x14ac:dyDescent="0.25">
      <c r="A572" s="17" t="str">
        <f>HYPERLINK("https://my.zakupivli.pro/remote/dispatcher/state_purchase_view/48116635", "UA-2023-12-29-002538-a")</f>
        <v>UA-2023-12-29-002538-a</v>
      </c>
      <c r="B572" s="17" t="s">
        <v>30</v>
      </c>
      <c r="C572" s="17" t="s">
        <v>1635</v>
      </c>
      <c r="D572" s="18" t="s">
        <v>225</v>
      </c>
      <c r="E572" s="22">
        <v>45285</v>
      </c>
      <c r="F572" s="17">
        <v>572</v>
      </c>
      <c r="G572" s="17">
        <v>110180</v>
      </c>
      <c r="H572" s="23">
        <v>4054334</v>
      </c>
      <c r="I572" s="17" t="s">
        <v>51</v>
      </c>
      <c r="J572" s="17">
        <v>3227406316</v>
      </c>
      <c r="K572" s="17" t="s">
        <v>82</v>
      </c>
      <c r="L572" s="17" t="s">
        <v>1606</v>
      </c>
      <c r="M572" s="18">
        <v>99000</v>
      </c>
    </row>
    <row r="573" spans="1:13" ht="360" x14ac:dyDescent="0.25">
      <c r="A573" s="69" t="s">
        <v>1665</v>
      </c>
      <c r="B573" s="17" t="s">
        <v>56</v>
      </c>
      <c r="C573" s="17" t="s">
        <v>1611</v>
      </c>
      <c r="D573" s="17" t="s">
        <v>223</v>
      </c>
      <c r="E573" s="22">
        <v>45289</v>
      </c>
      <c r="F573" s="17">
        <v>573</v>
      </c>
      <c r="G573" s="17" t="s">
        <v>1676</v>
      </c>
      <c r="H573" s="23">
        <v>4054334</v>
      </c>
      <c r="I573" s="17" t="s">
        <v>51</v>
      </c>
      <c r="J573" s="17">
        <v>37976553</v>
      </c>
      <c r="K573" s="17" t="s">
        <v>1642</v>
      </c>
      <c r="L573" s="17" t="s">
        <v>1581</v>
      </c>
      <c r="M573" s="18" t="s">
        <v>1677</v>
      </c>
    </row>
    <row r="574" spans="1:13" ht="105" x14ac:dyDescent="0.25">
      <c r="A574" s="17" t="s">
        <v>551</v>
      </c>
      <c r="B574" s="17" t="s">
        <v>21</v>
      </c>
      <c r="C574" s="17" t="s">
        <v>29</v>
      </c>
      <c r="D574" s="17" t="s">
        <v>221</v>
      </c>
      <c r="E574" s="22">
        <v>45289</v>
      </c>
      <c r="F574" s="25">
        <v>574</v>
      </c>
      <c r="G574" s="25">
        <v>110150</v>
      </c>
      <c r="H574" s="17" t="s">
        <v>50</v>
      </c>
      <c r="I574" s="17" t="s">
        <v>51</v>
      </c>
      <c r="J574" s="17" t="s">
        <v>64</v>
      </c>
      <c r="K574" s="17" t="s">
        <v>175</v>
      </c>
      <c r="L574" s="17" t="s">
        <v>218</v>
      </c>
      <c r="M574" s="18">
        <v>1472601.72</v>
      </c>
    </row>
    <row r="575" spans="1:13" ht="90" x14ac:dyDescent="0.25">
      <c r="A575" s="12" t="s">
        <v>1673</v>
      </c>
      <c r="B575" s="12" t="s">
        <v>19</v>
      </c>
      <c r="C575" s="12" t="s">
        <v>116</v>
      </c>
      <c r="D575" s="12" t="s">
        <v>221</v>
      </c>
      <c r="E575" s="22">
        <v>45289</v>
      </c>
      <c r="F575" s="6">
        <v>575</v>
      </c>
      <c r="G575" s="6">
        <v>110150</v>
      </c>
      <c r="H575" s="12" t="s">
        <v>50</v>
      </c>
      <c r="I575" s="12" t="s">
        <v>51</v>
      </c>
      <c r="J575" s="12" t="s">
        <v>62</v>
      </c>
      <c r="K575" s="12" t="s">
        <v>63</v>
      </c>
      <c r="L575" s="12" t="s">
        <v>190</v>
      </c>
      <c r="M575" s="13">
        <v>661189.9</v>
      </c>
    </row>
    <row r="576" spans="1:13" ht="90" x14ac:dyDescent="0.25">
      <c r="A576" s="12" t="s">
        <v>1674</v>
      </c>
      <c r="B576" s="12" t="s">
        <v>19</v>
      </c>
      <c r="C576" s="12" t="s">
        <v>116</v>
      </c>
      <c r="D576" s="12" t="s">
        <v>221</v>
      </c>
      <c r="E576" s="22">
        <v>45289</v>
      </c>
      <c r="F576" s="6">
        <v>576</v>
      </c>
      <c r="G576" s="6">
        <v>110150</v>
      </c>
      <c r="H576" s="12" t="s">
        <v>50</v>
      </c>
      <c r="I576" s="12" t="s">
        <v>51</v>
      </c>
      <c r="J576" s="12" t="s">
        <v>62</v>
      </c>
      <c r="K576" s="12" t="s">
        <v>63</v>
      </c>
      <c r="L576" s="12" t="s">
        <v>190</v>
      </c>
      <c r="M576" s="13">
        <v>90606.78</v>
      </c>
    </row>
    <row r="577" spans="1:13" ht="90" x14ac:dyDescent="0.25">
      <c r="A577" s="12" t="s">
        <v>1675</v>
      </c>
      <c r="B577" s="12" t="s">
        <v>19</v>
      </c>
      <c r="C577" s="12" t="s">
        <v>27</v>
      </c>
      <c r="D577" s="12" t="s">
        <v>221</v>
      </c>
      <c r="E577" s="22">
        <v>45289</v>
      </c>
      <c r="F577" s="6">
        <v>577</v>
      </c>
      <c r="G577" s="6">
        <v>110150</v>
      </c>
      <c r="H577" s="12" t="s">
        <v>50</v>
      </c>
      <c r="I577" s="12" t="s">
        <v>51</v>
      </c>
      <c r="J577" s="12" t="s">
        <v>65</v>
      </c>
      <c r="K577" s="12" t="s">
        <v>66</v>
      </c>
      <c r="L577" s="12" t="s">
        <v>189</v>
      </c>
      <c r="M577" s="13">
        <v>20778.150000000001</v>
      </c>
    </row>
    <row r="578" spans="1:13" ht="75" x14ac:dyDescent="0.25">
      <c r="A578" s="23" t="s">
        <v>1666</v>
      </c>
      <c r="B578" s="23"/>
      <c r="C578" s="23"/>
      <c r="D578" s="23"/>
      <c r="E578" s="22">
        <v>45289</v>
      </c>
      <c r="F578" s="15">
        <v>578</v>
      </c>
      <c r="G578" s="23"/>
      <c r="H578" s="6" t="s">
        <v>50</v>
      </c>
      <c r="I578" s="6" t="s">
        <v>51</v>
      </c>
      <c r="J578" s="23">
        <v>23802133</v>
      </c>
      <c r="K578" s="15" t="s">
        <v>1668</v>
      </c>
      <c r="L578" s="23"/>
      <c r="M578" s="23"/>
    </row>
    <row r="579" spans="1:13" ht="75" x14ac:dyDescent="0.25">
      <c r="A579" s="23" t="s">
        <v>1667</v>
      </c>
      <c r="B579" s="23"/>
      <c r="C579" s="23"/>
      <c r="D579" s="23"/>
      <c r="E579" s="22">
        <v>45289</v>
      </c>
      <c r="F579" s="15">
        <v>579</v>
      </c>
      <c r="G579" s="23"/>
      <c r="H579" s="6" t="s">
        <v>50</v>
      </c>
      <c r="I579" s="6" t="s">
        <v>51</v>
      </c>
      <c r="J579" s="23">
        <v>23802133</v>
      </c>
      <c r="K579" s="15" t="s">
        <v>1668</v>
      </c>
      <c r="L579" s="23"/>
      <c r="M579" s="23"/>
    </row>
    <row r="580" spans="1:13" ht="180" x14ac:dyDescent="0.25">
      <c r="A580" s="18" t="s">
        <v>1669</v>
      </c>
      <c r="B580" s="18" t="s">
        <v>332</v>
      </c>
      <c r="C580" s="18" t="s">
        <v>1624</v>
      </c>
      <c r="D580" s="18"/>
      <c r="E580" s="22">
        <v>45289</v>
      </c>
      <c r="F580" s="23">
        <v>580</v>
      </c>
      <c r="G580" s="23">
        <v>118240</v>
      </c>
      <c r="H580" s="23">
        <v>4054334</v>
      </c>
      <c r="I580" s="23" t="s">
        <v>51</v>
      </c>
      <c r="J580" s="23">
        <v>42855563</v>
      </c>
      <c r="K580" s="18" t="s">
        <v>1650</v>
      </c>
      <c r="L580" s="18" t="s">
        <v>1595</v>
      </c>
      <c r="M580" s="18"/>
    </row>
    <row r="1047815" spans="7:10" x14ac:dyDescent="0.25">
      <c r="G1047815" s="1"/>
      <c r="H1047815" s="1"/>
    </row>
    <row r="1047816" spans="7:10" x14ac:dyDescent="0.25">
      <c r="G1047816" s="1"/>
      <c r="H1047816" s="2"/>
      <c r="I1047816" s="1"/>
      <c r="J1047816" s="1"/>
    </row>
    <row r="1047817" spans="7:10" x14ac:dyDescent="0.25">
      <c r="I1047817" s="2"/>
      <c r="J1047817" s="1"/>
    </row>
  </sheetData>
  <sortState xmlns:xlrd2="http://schemas.microsoft.com/office/spreadsheetml/2017/richdata2" ref="A447:M450">
    <sortCondition ref="F447:F450"/>
  </sortState>
  <hyperlinks>
    <hyperlink ref="O57" r:id="rId1" display="https://my.zakupki.prom.ua/remote/dispatcher/state_purchase_view/40719295" xr:uid="{FA2C0846-2068-4420-A85A-775402F95057}"/>
    <hyperlink ref="O56" r:id="rId2" display="https://my.zakupki.prom.ua/remote/dispatcher/state_purchase_view/40718737" xr:uid="{54E538CF-5639-44C5-AC9C-0A892D0E53D0}"/>
    <hyperlink ref="O55" r:id="rId3" display="https://my.zakupki.prom.ua/remote/dispatcher/state_purchase_view/40718302" xr:uid="{7313AF3C-A6D8-4CD1-9F20-6167DF294B58}"/>
    <hyperlink ref="O53" r:id="rId4" display="https://my.zakupki.prom.ua/remote/dispatcher/state_purchase_view/40685006" xr:uid="{1A895BB8-3E62-479C-A70C-09265158B6BD}"/>
    <hyperlink ref="O52" r:id="rId5" display="https://my.zakupki.prom.ua/remote/dispatcher/state_purchase_view/40684940" xr:uid="{9BAB82B1-BFBA-4C1C-A4C0-352D683BE5BA}"/>
    <hyperlink ref="O47" r:id="rId6" display="https://my.zakupki.prom.ua/remote/dispatcher/state_purchase_view/40684109" xr:uid="{2B00B87D-D5BF-4B58-A046-4174C68AA2E3}"/>
    <hyperlink ref="O48" r:id="rId7" display="https://my.zakupki.prom.ua/remote/dispatcher/state_purchase_view/40641046" xr:uid="{3FCEDF3D-E809-4BEA-AAA0-F0AE249F5A69}"/>
    <hyperlink ref="O49" r:id="rId8" display="https://my.zakupki.prom.ua/remote/dispatcher/state_purchase_view/40640185" xr:uid="{0A4553A9-A154-454F-A5F4-A11B31AAEF5F}"/>
    <hyperlink ref="O50" r:id="rId9" display="https://my.zakupki.prom.ua/remote/dispatcher/state_purchase_view/40639197" xr:uid="{9B319869-0A50-49BA-8D38-B79C5BBA167E}"/>
    <hyperlink ref="O51" r:id="rId10" display="https://my.zakupki.prom.ua/remote/dispatcher/state_purchase_view/40638531" xr:uid="{9CFD74F3-6D34-41A4-B9B8-964CDC67F403}"/>
    <hyperlink ref="O44" r:id="rId11" display="https://my.zakupki.prom.ua/remote/dispatcher/state_purchase_view/40637392" xr:uid="{83929B45-350D-4435-A65A-0AC6353B63EE}"/>
    <hyperlink ref="O46" r:id="rId12" display="https://my.zakupki.prom.ua/remote/dispatcher/state_purchase_view/40608193" xr:uid="{EC60DAFE-90DE-462C-8727-5CB9BFD4A36D}"/>
    <hyperlink ref="O45" r:id="rId13" display="https://my.zakupki.prom.ua/remote/dispatcher/state_purchase_view/40606829" xr:uid="{31A36B40-3851-405B-8728-4F310E6E5373}"/>
    <hyperlink ref="O43" r:id="rId14" display="https://my.zakupki.prom.ua/remote/dispatcher/state_purchase_view/40596006" xr:uid="{C9078152-9FDE-48BC-B47C-F6C06F0F79B6}"/>
    <hyperlink ref="O39" r:id="rId15" display="https://my.zakupki.prom.ua/remote/dispatcher/state_purchase_view/40586835" xr:uid="{256E6F20-B441-439E-8A6A-03548522E3C0}"/>
    <hyperlink ref="O38" r:id="rId16" display="https://my.zakupki.prom.ua/remote/dispatcher/state_purchase_view/40586241" xr:uid="{D0FDD336-CD27-4D85-9C69-98368767E9C2}"/>
    <hyperlink ref="O42" r:id="rId17" display="https://my.zakupki.prom.ua/remote/dispatcher/state_purchase_view/40574786" xr:uid="{C1FDE4FF-5D37-48BA-AD04-6177F662E1CF}"/>
    <hyperlink ref="O41" r:id="rId18" display="https://my.zakupki.prom.ua/remote/dispatcher/state_purchase_view/40574766" xr:uid="{107D73B2-8E09-4BF5-8F63-DBD2243F694B}"/>
    <hyperlink ref="O40" r:id="rId19" display="https://my.zakupki.prom.ua/remote/dispatcher/state_purchase_view/40574684" xr:uid="{2D5632FE-9F36-417F-9B63-72380147F451}"/>
    <hyperlink ref="O36" r:id="rId20" display="https://my.zakupki.prom.ua/remote/dispatcher/state_purchase_view/40572713" xr:uid="{81B63141-C11B-4A55-B579-AF02ED248F70}"/>
    <hyperlink ref="O29" r:id="rId21" display="https://my.zakupki.prom.ua/remote/dispatcher/state_purchase_view/40542317" xr:uid="{DCB188E6-61F0-4456-BEBE-F43E4D5192DC}"/>
    <hyperlink ref="O30" r:id="rId22" display="https://my.zakupki.prom.ua/remote/dispatcher/state_purchase_view/40534710" xr:uid="{A0B91CFB-E86F-4FBE-BC84-5DE8BEFA527D}"/>
    <hyperlink ref="O31" r:id="rId23" display="https://my.zakupki.prom.ua/remote/dispatcher/state_purchase_view/40534681" xr:uid="{EC0FDEE4-9412-43A9-AA5C-4EF3BD520EC8}"/>
    <hyperlink ref="O28" r:id="rId24" display="https://my.zakupki.prom.ua/remote/dispatcher/state_purchase_view/40534478" xr:uid="{09FC4CA2-F7D6-4B7E-82C4-17B971582D70}"/>
    <hyperlink ref="O27" r:id="rId25" display="https://my.zakupki.prom.ua/remote/dispatcher/state_purchase_view/40468253" xr:uid="{FBA2F075-E79B-4883-A2ED-4421DFC2F016}"/>
    <hyperlink ref="O25" r:id="rId26" display="https://my.zakupki.prom.ua/remote/dispatcher/state_purchase_view/40451986" xr:uid="{60FD3DF3-F1D1-4E4D-8CDC-E0749121C826}"/>
    <hyperlink ref="O21" r:id="rId27" display="https://my.zakupki.prom.ua/remote/dispatcher/state_purchase_view/40432061" xr:uid="{19FF901F-79AB-4CDC-B02B-D4948631D282}"/>
    <hyperlink ref="O22" r:id="rId28" display="https://my.zakupki.prom.ua/remote/dispatcher/state_purchase_view/40431571" xr:uid="{AA25DEB6-F251-4DB5-8676-CA96FA2241B5}"/>
    <hyperlink ref="O23" r:id="rId29" display="https://my.zakupki.prom.ua/remote/dispatcher/state_purchase_view/40431370" xr:uid="{32DF7B35-7743-4DE3-A459-CBA4201AC30D}"/>
    <hyperlink ref="O24" r:id="rId30" display="https://my.zakupki.prom.ua/remote/dispatcher/state_purchase_view/40430380" xr:uid="{B882495B-A163-4D55-89DC-4A225A7BE8BC}"/>
    <hyperlink ref="O26" r:id="rId31" display="https://my.zakupki.prom.ua/remote/dispatcher/state_purchase_view/40428557" xr:uid="{07A726E2-A2A2-458B-B6B2-DA4504C1E22F}"/>
    <hyperlink ref="O20" r:id="rId32" display="https://my.zakupki.prom.ua/remote/dispatcher/state_purchase_view/40364788" xr:uid="{51B6271B-F740-4282-9FEE-43E374077B83}"/>
    <hyperlink ref="O19" r:id="rId33" display="https://my.zakupki.prom.ua/remote/dispatcher/state_purchase_view/40319672" xr:uid="{E7BFB83E-1BF5-4FAA-B701-7EE94C34AE97}"/>
    <hyperlink ref="O18" r:id="rId34" display="https://my.zakupki.prom.ua/remote/dispatcher/state_purchase_view/40317813" xr:uid="{C48A56E9-30A3-4D32-9FB1-4D8AF1D857B8}"/>
    <hyperlink ref="O17" r:id="rId35" display="https://my.zakupki.prom.ua/remote/dispatcher/state_purchase_view/40317544" xr:uid="{D1757A30-F37B-42AD-9F3B-D1A303EDB6E2}"/>
    <hyperlink ref="O16" r:id="rId36" display="https://my.zakupki.prom.ua/remote/dispatcher/state_purchase_view/40317084" xr:uid="{94164A12-A994-4C67-8DE3-A4547D4084B8}"/>
    <hyperlink ref="O15" r:id="rId37" display="https://my.zakupki.prom.ua/remote/dispatcher/state_purchase_view/40314625" xr:uid="{5B89E1FF-2A41-4D0B-9DD9-3771D5050EF8}"/>
    <hyperlink ref="O14" r:id="rId38" display="https://my.zakupki.prom.ua/remote/dispatcher/state_purchase_view/40313631" xr:uid="{B4702222-0B65-4E2C-84D4-8E1CFA357C7E}"/>
    <hyperlink ref="O8" r:id="rId39" display="https://my.zakupki.prom.ua/remote/dispatcher/state_purchase_view/40265498" xr:uid="{3D105040-A077-4E03-94F1-04CE5D059B3D}"/>
    <hyperlink ref="O9" r:id="rId40" display="https://my.zakupki.prom.ua/remote/dispatcher/state_purchase_view/40265218" xr:uid="{A0E90328-ED0A-4AF5-B6A2-8FF4F611575F}"/>
    <hyperlink ref="O10" r:id="rId41" display="https://my.zakupki.prom.ua/remote/dispatcher/state_purchase_view/40264915" xr:uid="{B354A844-E981-46D4-97E5-1A9B6680D4B3}"/>
    <hyperlink ref="O11" r:id="rId42" display="https://my.zakupki.prom.ua/remote/dispatcher/state_purchase_view/40264530" xr:uid="{68D61C9F-8733-497A-B479-6836860EE919}"/>
    <hyperlink ref="O12" r:id="rId43" display="https://my.zakupki.prom.ua/remote/dispatcher/state_purchase_view/40263777" xr:uid="{29AFA402-5D69-44F9-8C85-FD3E2A63B27F}"/>
    <hyperlink ref="O13" r:id="rId44" display="https://my.zakupki.prom.ua/remote/dispatcher/state_purchase_view/40263110" xr:uid="{236F3199-4B7B-451F-916A-BA5C87CF1B7E}"/>
    <hyperlink ref="O7" r:id="rId45" display="https://my.zakupki.prom.ua/remote/dispatcher/state_purchase_view/40202996" xr:uid="{94FAEDB3-A96E-43BC-94F9-15D979B28A28}"/>
    <hyperlink ref="O6" r:id="rId46" display="https://my.zakupki.prom.ua/remote/dispatcher/state_purchase_view/40188274" xr:uid="{1BB05AC6-0621-494F-AE6D-AD4FEE5B54F9}"/>
    <hyperlink ref="O5" r:id="rId47" display="https://my.zakupki.prom.ua/remote/dispatcher/state_purchase_view/40094150" xr:uid="{4CBB3DA3-DBD6-446E-83A1-02A860E2410E}"/>
    <hyperlink ref="O54" r:id="rId48" display="https://my.zakupki.prom.ua/remote/dispatcher/state_purchase_view/40088812" xr:uid="{405C8770-6EA8-48FA-B9F8-7BF8455E37DE}"/>
    <hyperlink ref="O35" r:id="rId49" display="https://my.zakupki.prom.ua/remote/dispatcher/state_purchase_view/40084809" xr:uid="{A820A33F-B0B4-4CDA-BCF2-4C368D127E06}"/>
    <hyperlink ref="O3" r:id="rId50" display="https://my.zakupki.prom.ua/remote/dispatcher/state_purchase_view/40059499" xr:uid="{3EBCFD5E-F8DA-4B38-B380-A5EBFE714F83}"/>
    <hyperlink ref="O4" r:id="rId51" display="https://my.zakupki.prom.ua/remote/dispatcher/state_purchase_view/40058690" xr:uid="{918280D4-A035-40AD-BE97-4E8162F97427}"/>
    <hyperlink ref="O32" r:id="rId52" display="https://my.zakupki.prom.ua/remote/dispatcher/state_purchase_view/40008355" xr:uid="{2DBECF1F-60C0-4240-AEA5-86B9BBA3330D}"/>
    <hyperlink ref="O82" r:id="rId53" display="https://my.zakupki.prom.ua/remote/dispatcher/state_purchase_view/41196329" xr:uid="{ACA54D39-8283-48AC-AC00-BC090202E6E9}"/>
    <hyperlink ref="O81" r:id="rId54" display="https://my.zakupki.prom.ua/remote/dispatcher/state_purchase_view/41196140" xr:uid="{E8634569-4CA7-4635-8989-D9B9E954887B}"/>
    <hyperlink ref="O79" r:id="rId55" display="https://my.zakupki.prom.ua/remote/dispatcher/state_purchase_view/41190053" xr:uid="{F13329AD-C2DA-4AD8-BFB8-E63F16020090}"/>
    <hyperlink ref="O78" r:id="rId56" display="https://my.zakupki.prom.ua/remote/dispatcher/state_purchase_view/41188168" xr:uid="{F42B2E16-D769-49ED-8E87-2EFAEEF43EE0}"/>
    <hyperlink ref="O77" r:id="rId57" display="https://my.zakupki.prom.ua/remote/dispatcher/state_purchase_view/41187513" xr:uid="{5464061D-3A25-4D1C-AF1A-251A471DE43D}"/>
    <hyperlink ref="O76" r:id="rId58" display="https://my.zakupki.prom.ua/remote/dispatcher/state_purchase_view/41186817" xr:uid="{5C83D3F0-BB31-4434-9B0E-079529FDD567}"/>
    <hyperlink ref="O75" r:id="rId59" display="https://my.zakupki.prom.ua/remote/dispatcher/state_purchase_view/41182040" xr:uid="{7E6253B2-9CBB-4100-9CB1-B5BF0362A92C}"/>
    <hyperlink ref="O74" r:id="rId60" display="https://my.zakupki.prom.ua/remote/dispatcher/state_purchase_view/41181354" xr:uid="{37ACD968-F15A-4C3A-9442-AA6C3FE0A52E}"/>
    <hyperlink ref="O73" r:id="rId61" display="https://my.zakupki.prom.ua/remote/dispatcher/state_purchase_view/41167500" xr:uid="{0210BD0A-2584-45A8-9A62-EB0AD22FA224}"/>
    <hyperlink ref="O72" r:id="rId62" display="https://my.zakupki.prom.ua/remote/dispatcher/state_purchase_view/41167214" xr:uid="{7F02B717-8792-46C6-9DC8-29A1C16E6CAB}"/>
    <hyperlink ref="O71" r:id="rId63" display="https://my.zakupki.prom.ua/remote/dispatcher/state_purchase_view/41166848" xr:uid="{5B0D5F3D-95F6-4BF3-A751-B9C6D38EA524}"/>
    <hyperlink ref="O70" r:id="rId64" display="https://my.zakupki.prom.ua/remote/dispatcher/state_purchase_view/41166410" xr:uid="{735E49FB-C4CA-431E-8DE6-38F5748A7B5E}"/>
    <hyperlink ref="O67" r:id="rId65" display="https://my.zakupki.prom.ua/remote/dispatcher/state_purchase_view/41162077" xr:uid="{7A76CD19-079C-4503-9C15-67E036186DD3}"/>
    <hyperlink ref="O68" r:id="rId66" display="https://my.zakupki.prom.ua/remote/dispatcher/state_purchase_view/41160875" xr:uid="{285613A1-1EBF-469A-8D1C-5B9D4E6AA4DF}"/>
    <hyperlink ref="O69" r:id="rId67" display="https://my.zakupki.prom.ua/remote/dispatcher/state_purchase_view/41147638" xr:uid="{E1AD299A-ED82-416B-8E10-FE6843F99202}"/>
    <hyperlink ref="O65" r:id="rId68" display="https://my.zakupki.prom.ua/remote/dispatcher/state_purchase_view/41146574" xr:uid="{5C52553F-D568-4609-B9BC-90793165D019}"/>
    <hyperlink ref="O66" r:id="rId69" display="https://my.zakupki.prom.ua/remote/dispatcher/state_purchase_view/41141628" xr:uid="{C5410A7C-439F-43B6-B441-28575898B214}"/>
    <hyperlink ref="O63" r:id="rId70" display="https://my.zakupki.prom.ua/remote/dispatcher/state_purchase_view/41061502" xr:uid="{BD67E6DC-7053-4957-93BE-5A7C77F32223}"/>
    <hyperlink ref="O62" r:id="rId71" display="https://my.zakupki.prom.ua/remote/dispatcher/state_purchase_view/41061347" xr:uid="{7EFF410A-4650-432D-B678-ED176E5B3FFF}"/>
    <hyperlink ref="O61" r:id="rId72" display="https://my.zakupki.prom.ua/remote/dispatcher/state_purchase_view/41060745" xr:uid="{A0D0BFBE-25FC-4045-9817-846A20D73663}"/>
    <hyperlink ref="O60" r:id="rId73" display="https://my.zakupki.prom.ua/remote/dispatcher/state_purchase_view/41030083" xr:uid="{D5D47640-6D76-410D-AD52-45BEBEA61CF0}"/>
    <hyperlink ref="O64" r:id="rId74" display="https://my.zakupki.prom.ua/remote/dispatcher/state_purchase_view/40344132" xr:uid="{57FD1835-DD23-4401-B42E-B328B86F66F6}"/>
    <hyperlink ref="O96" r:id="rId75" display="https://my.zakupki.prom.ua/remote/dispatcher/state_purchase_view/41578520" xr:uid="{A47C67EF-2121-4618-82F3-F141FF63E414}"/>
    <hyperlink ref="O99" r:id="rId76" display="https://my.zakupki.prom.ua/remote/dispatcher/state_purchase_view/41566320" xr:uid="{449BBAE9-9F1F-41AF-8C33-758522644395}"/>
    <hyperlink ref="O94" r:id="rId77" display="https://my.zakupki.prom.ua/remote/dispatcher/state_purchase_view/41469897" xr:uid="{8809F045-EE81-41AD-84FE-B9DAC2EFAB52}"/>
    <hyperlink ref="O93" r:id="rId78" display="https://my.zakupki.prom.ua/remote/dispatcher/state_purchase_view/41441754" xr:uid="{009C3B07-5CCE-4364-8828-F9ADC900708F}"/>
    <hyperlink ref="O85" r:id="rId79" display="https://my.zakupki.prom.ua/remote/dispatcher/state_purchase_view/41399521" xr:uid="{3F27CBD1-767C-46B9-967D-2E456612084E}"/>
    <hyperlink ref="O92" r:id="rId80" display="https://my.zakupki.prom.ua/remote/dispatcher/state_purchase_view/41350021" xr:uid="{C79FAC24-07ED-4CCE-A273-8B5888EAF211}"/>
    <hyperlink ref="O91" r:id="rId81" display="https://my.zakupki.prom.ua/remote/dispatcher/state_purchase_view/41349229" xr:uid="{5021485C-27B9-4E17-8CC1-A4C8177367E1}"/>
    <hyperlink ref="O90" r:id="rId82" display="https://my.zakupki.prom.ua/remote/dispatcher/state_purchase_view/41332959" xr:uid="{152453F4-619F-4965-9180-B66F7CF76DBC}"/>
    <hyperlink ref="O89" r:id="rId83" display="https://my.zakupki.prom.ua/remote/dispatcher/state_purchase_view/41311020" xr:uid="{374CD801-AA9A-443E-B8DE-BA59521B8797}"/>
    <hyperlink ref="O87" r:id="rId84" display="https://my.zakupki.prom.ua/remote/dispatcher/state_purchase_view/41262256" xr:uid="{FA6CA8B2-657A-4573-A572-17B9B2D8E920}"/>
    <hyperlink ref="O88" r:id="rId85" display="https://my.zakupki.prom.ua/remote/dispatcher/state_purchase_view/41259318" xr:uid="{9695D449-326D-43C8-A194-6F0DC17EF42A}"/>
    <hyperlink ref="O84" r:id="rId86" display="https://my.zakupki.prom.ua/remote/dispatcher/state_purchase_view/41235675" xr:uid="{E9832C8D-A613-4801-B436-B4A52D1363F2}"/>
    <hyperlink ref="O86" r:id="rId87" display="https://my.zakupki.prom.ua/remote/dispatcher/state_purchase_view/40846000" xr:uid="{7A87E09C-9C31-491F-8A8B-62AD47570DB3}"/>
    <hyperlink ref="O95" r:id="rId88" display="https://my.zakupki.prom.ua/remote/dispatcher/state_purchase_view/41311020" xr:uid="{626F0B7F-1014-46AE-B476-8E650AC57EC6}"/>
    <hyperlink ref="O97" r:id="rId89" display="https://my.zakupki.prom.ua/remote/dispatcher/state_purchase_view/41441754" xr:uid="{80ECD3E7-F09B-43A4-9B71-49AE04A30AA0}"/>
    <hyperlink ref="O135" r:id="rId90" display="https://my.zakupki.prom.ua/remote/dispatcher/state_purchase_view/41769462" xr:uid="{BC4C4C59-0769-4CB4-9687-5AF4A3A4EFCF}"/>
    <hyperlink ref="O134" r:id="rId91" display="https://my.zakupki.prom.ua/remote/dispatcher/state_purchase_view/41769311" xr:uid="{FF4E888A-F94A-4084-A981-AA8E62199141}"/>
    <hyperlink ref="O133" r:id="rId92" display="https://my.zakupki.prom.ua/remote/dispatcher/state_purchase_view/41768975" xr:uid="{5BA03AED-46CE-4F6F-9A2F-8AA4F0B3BDA1}"/>
    <hyperlink ref="O132" r:id="rId93" display="https://my.zakupki.prom.ua/remote/dispatcher/state_purchase_view/41768435" xr:uid="{E44D3645-98C8-4731-A980-CE4C0540E948}"/>
    <hyperlink ref="O136" r:id="rId94" display="https://my.zakupki.prom.ua/remote/dispatcher/state_purchase_view/41766739" xr:uid="{FA113CFF-C5F6-4E79-A617-C1941530FC22}"/>
    <hyperlink ref="O131" r:id="rId95" display="https://my.zakupki.prom.ua/remote/dispatcher/state_purchase_view/41766144" xr:uid="{8BA56258-68F6-4B2B-9B6A-7516A44AB14C}"/>
    <hyperlink ref="O129" r:id="rId96" display="https://my.zakupki.prom.ua/remote/dispatcher/state_purchase_view/41754373" xr:uid="{F9802878-969B-4C14-B15C-EB247528080A}"/>
    <hyperlink ref="O126" r:id="rId97" display="https://my.zakupki.prom.ua/remote/dispatcher/state_purchase_view/41750366" xr:uid="{0375A619-96B1-427F-968E-6DFE208A75B3}"/>
    <hyperlink ref="O127" r:id="rId98" display="https://my.zakupki.prom.ua/remote/dispatcher/state_purchase_view/41750184" xr:uid="{737FC49F-53A0-4C2E-AE83-EA33E640F81C}"/>
    <hyperlink ref="O125" r:id="rId99" display="https://my.zakupki.prom.ua/remote/dispatcher/state_purchase_view/41750108" xr:uid="{B0931E72-292C-40E4-BE96-983F7EEB75CD}"/>
    <hyperlink ref="O128" r:id="rId100" display="https://my.zakupki.prom.ua/remote/dispatcher/state_purchase_view/41750000" xr:uid="{55D8FB41-7DAD-4AC3-A225-8A7C9CF477CD}"/>
    <hyperlink ref="O124" r:id="rId101" display="https://my.zakupki.prom.ua/remote/dispatcher/state_purchase_view/41749941" xr:uid="{9EF25EF7-9625-4C33-8806-47724F2B738C}"/>
    <hyperlink ref="O123" r:id="rId102" display="https://my.zakupki.prom.ua/remote/dispatcher/state_purchase_view/41749893" xr:uid="{9200503B-5284-4E54-A7A2-91A1B996C6A0}"/>
    <hyperlink ref="O122" r:id="rId103" display="https://my.zakupki.prom.ua/remote/dispatcher/state_purchase_view/41742669" xr:uid="{37DED074-591E-4772-83A9-E441F89C00A3}"/>
    <hyperlink ref="O121" r:id="rId104" display="https://my.zakupki.prom.ua/remote/dispatcher/state_purchase_view/41742550" xr:uid="{C75A571C-BC97-4755-898C-05AC4F59B5B8}"/>
    <hyperlink ref="O117" r:id="rId105" display="https://my.zakupki.prom.ua/remote/dispatcher/state_purchase_view/41733153" xr:uid="{EAF46C3A-A0A0-4BFD-A1B8-BDD551A3F7B6}"/>
    <hyperlink ref="O116" r:id="rId106" display="https://my.zakupki.prom.ua/remote/dispatcher/state_purchase_view/41733143" xr:uid="{8C5AB002-D9D5-48A3-A801-980DF2A5BDF4}"/>
    <hyperlink ref="O115" r:id="rId107" display="https://my.zakupki.prom.ua/remote/dispatcher/state_purchase_view/41733137" xr:uid="{E9D45285-0627-4368-82B5-9E4CBA6755C5}"/>
    <hyperlink ref="O119" r:id="rId108" display="https://my.zakupki.prom.ua/remote/dispatcher/state_purchase_view/41733122" xr:uid="{15AAF39B-291A-4269-A152-F7E29BDE37B6}"/>
    <hyperlink ref="O118" r:id="rId109" display="https://my.zakupki.prom.ua/remote/dispatcher/state_purchase_view/41733109" xr:uid="{54B90A31-D75C-4224-9CF8-C89F9702EB9F}"/>
    <hyperlink ref="O120" r:id="rId110" display="https://my.zakupki.prom.ua/remote/dispatcher/state_purchase_view/41733098" xr:uid="{74A33C93-DDD0-4F38-82FE-B9828CC21B83}"/>
    <hyperlink ref="O109" r:id="rId111" display="https://my.zakupki.prom.ua/remote/dispatcher/state_purchase_view/41733084" xr:uid="{DD3EDEB4-F332-4711-B59E-7963BA8E65AA}"/>
    <hyperlink ref="O114" r:id="rId112" display="https://my.zakupki.prom.ua/remote/dispatcher/state_purchase_view/41733075" xr:uid="{73143F4D-6F1C-4A6F-977F-ED64AB059A79}"/>
    <hyperlink ref="O113" r:id="rId113" display="https://my.zakupki.prom.ua/remote/dispatcher/state_purchase_view/41733070" xr:uid="{134CEC15-6CFA-4A5E-916E-56B73D3B1AA2}"/>
    <hyperlink ref="O110" r:id="rId114" display="https://my.zakupki.prom.ua/remote/dispatcher/state_purchase_view/41732862" xr:uid="{7DD007E2-96EA-4C9E-974F-BC1CFB42207E}"/>
    <hyperlink ref="O112" r:id="rId115" display="https://my.zakupki.prom.ua/remote/dispatcher/state_purchase_view/41732845" xr:uid="{45D2787D-1BBD-4E95-A8F5-9E7A0C74CDAE}"/>
    <hyperlink ref="O108" r:id="rId116" display="https://my.zakupki.prom.ua/remote/dispatcher/state_purchase_view/41632628" xr:uid="{E0C10E31-9EB5-4EDC-A0A9-E336912A1E7A}"/>
    <hyperlink ref="O106" r:id="rId117" display="https://my.zakupki.prom.ua/remote/dispatcher/state_purchase_view/41632616" xr:uid="{3BF856A0-070A-46D0-A43C-52EDB496D8DB}"/>
    <hyperlink ref="O107" r:id="rId118" display="https://my.zakupki.prom.ua/remote/dispatcher/state_purchase_view/41632609" xr:uid="{C4635E13-A26E-4AD5-8DDA-418504B0D61D}"/>
    <hyperlink ref="O105" r:id="rId119" display="https://my.zakupki.prom.ua/remote/dispatcher/state_purchase_view/41632584" xr:uid="{729B3A22-158F-4462-B52A-EE87BDBB41E7}"/>
    <hyperlink ref="O104" r:id="rId120" display="https://my.zakupki.prom.ua/remote/dispatcher/state_purchase_view/41632545" xr:uid="{9BA1E602-CFEC-4A89-89C0-0576AE1127E8}"/>
    <hyperlink ref="O103" r:id="rId121" display="https://my.zakupki.prom.ua/remote/dispatcher/state_purchase_view/41632533" xr:uid="{7489E720-B55D-452A-A02F-4C511E70D915}"/>
    <hyperlink ref="O102" r:id="rId122" display="https://my.zakupki.prom.ua/remote/dispatcher/state_purchase_view/41632525" xr:uid="{03CD1F18-6996-4ABC-81E9-800AF13FBB38}"/>
    <hyperlink ref="O101" r:id="rId123" display="https://my.zakupki.prom.ua/remote/dispatcher/state_purchase_view/41632513" xr:uid="{CD326690-E56D-4D1B-A81A-3FFBC639DBDB}"/>
    <hyperlink ref="O111" r:id="rId124" display="https://my.zakupki.prom.ua/remote/dispatcher/state_purchase_view/41632494" xr:uid="{D15C947E-7531-489E-863C-8E1DB78E9D10}"/>
    <hyperlink ref="O100" r:id="rId125" display="https://my.zakupki.prom.ua/remote/dispatcher/state_purchase_view/41567196" xr:uid="{8C39A924-A2B1-44D3-A4D2-4CB0DEA84653}"/>
    <hyperlink ref="O130" r:id="rId126" display="https://my.zakupki.prom.ua/remote/dispatcher/state_purchase_view/41295450" xr:uid="{3B3DF18B-E9A3-442C-A1DA-3D50621D100F}"/>
    <hyperlink ref="O98" r:id="rId127" display="https://my.zakupki.prom.ua/remote/dispatcher/state_purchase_view/41607006" xr:uid="{CB18FED0-C3BE-46C9-865A-90BAAACA0740}"/>
    <hyperlink ref="O189" r:id="rId128" display="https://my.zakupki.prom.ua/remote/dispatcher/state_purchase_view/42401788" xr:uid="{3F9D2C6B-1850-416B-82CB-2E07CFAB9384}"/>
    <hyperlink ref="O170" r:id="rId129" display="https://my.zakupki.prom.ua/remote/dispatcher/state_purchase_view/42285406" xr:uid="{3FEB0CD5-D501-481C-A2D2-6722B978E15B}"/>
    <hyperlink ref="O171" r:id="rId130" display="https://my.zakupki.prom.ua/remote/dispatcher/state_purchase_view/42284837" xr:uid="{1074FEC2-7C10-4A12-A4A3-71D2A3954D11}"/>
    <hyperlink ref="O169" r:id="rId131" display="https://my.zakupki.prom.ua/remote/dispatcher/state_purchase_view/42284689" xr:uid="{1DC1A46A-DA20-417F-B9B4-E9865C841C67}"/>
    <hyperlink ref="O168" r:id="rId132" display="https://my.zakupki.prom.ua/remote/dispatcher/state_purchase_view/42283558" xr:uid="{54A30F36-7DC8-419C-AACA-77A9E3D6A299}"/>
    <hyperlink ref="O179" r:id="rId133" display="https://my.zakupki.prom.ua/remote/dispatcher/state_purchase_view/42269938" xr:uid="{D3DD9E4E-23EC-49E2-B282-A43BE96D58AA}"/>
    <hyperlink ref="O167" r:id="rId134" display="https://my.zakupki.prom.ua/remote/dispatcher/state_purchase_view/42223452" xr:uid="{31B1CAE3-B63D-4773-9B6B-46CBFCD315AC}"/>
    <hyperlink ref="O166" r:id="rId135" display="https://my.zakupki.prom.ua/remote/dispatcher/state_purchase_view/42214586" xr:uid="{9226BB14-5956-483C-B6F3-D777B58D5D46}"/>
    <hyperlink ref="O173" r:id="rId136" display="https://my.zakupki.prom.ua/remote/dispatcher/state_purchase_view/42185508" xr:uid="{6EA1DA29-17F5-4321-A9CC-211F310AAB72}"/>
    <hyperlink ref="O139" r:id="rId137" display="https://my.zakupki.prom.ua/remote/dispatcher/state_purchase_view/41339436" xr:uid="{5B557555-EF4E-4714-868A-616288036CB9}"/>
    <hyperlink ref="O158" r:id="rId138" display="https://my.zakupki.prom.ua/remote/dispatcher/state_purchase_view/41618203" xr:uid="{2582EA80-2D6F-4431-96A8-A2C07E2E5B6B}"/>
    <hyperlink ref="O180" r:id="rId139" display="https://my.zakupki.prom.ua/remote/dispatcher/state_purchase_view/41778722" xr:uid="{B9F4A5EA-190E-4E3B-9AD4-1847A7C26644}"/>
    <hyperlink ref="O183" r:id="rId140" display="https://my.zakupki.prom.ua/remote/dispatcher/state_purchase_view/41806729" xr:uid="{A7C2B749-EE63-45B4-A857-A415B7F26382}"/>
    <hyperlink ref="O137" r:id="rId141" display="https://my.zakupki.prom.ua/remote/dispatcher/state_purchase_view/41810813" xr:uid="{433F47E8-22F3-41E8-9086-2F4CCE64FFA6}"/>
    <hyperlink ref="O138" r:id="rId142" display="https://my.zakupki.prom.ua/remote/dispatcher/state_purchase_view/41813683" xr:uid="{6C285EF6-CC3E-4F36-AEAB-B7AB9D9DECA3}"/>
    <hyperlink ref="O174" r:id="rId143" display="https://my.zakupki.prom.ua/remote/dispatcher/state_purchase_view/41814021" xr:uid="{279551BE-1A31-4A3E-9E55-F99E405FAB44}"/>
    <hyperlink ref="O140" r:id="rId144" display="https://my.zakupki.prom.ua/remote/dispatcher/state_purchase_view/41860318" xr:uid="{67B6D12D-E0FB-4B4C-BE21-FC4A5E237A3D}"/>
    <hyperlink ref="O143" r:id="rId145" display="https://my.zakupki.prom.ua/remote/dispatcher/state_purchase_view/41876449" xr:uid="{D08DC4D2-2D73-47EA-8207-1585DF909BE5}"/>
    <hyperlink ref="O142" r:id="rId146" display="https://my.zakupki.prom.ua/remote/dispatcher/state_purchase_view/41876798" xr:uid="{8E7F3776-AF60-4C11-9901-33E32F33226D}"/>
    <hyperlink ref="O144" r:id="rId147" display="https://my.zakupki.prom.ua/remote/dispatcher/state_purchase_view/41876973" xr:uid="{7932B4EB-EBF0-462B-B7CD-5E5B63157AE7}"/>
    <hyperlink ref="O145" r:id="rId148" display="https://my.zakupki.prom.ua/remote/dispatcher/state_purchase_view/41877567" xr:uid="{C109DF82-EB61-4CB9-8777-A4A41F422A88}"/>
    <hyperlink ref="O141" r:id="rId149" display="https://my.zakupki.prom.ua/remote/dispatcher/state_purchase_view/41878091" xr:uid="{2342EFD4-7D5A-4961-B20B-81D63C1599E6}"/>
    <hyperlink ref="O146" r:id="rId150" display="https://my.zakupki.prom.ua/remote/dispatcher/state_purchase_view/41883701" xr:uid="{26E6979C-4070-4B7D-A3BB-A06F67B648A9}"/>
    <hyperlink ref="O147" r:id="rId151" display="https://my.zakupki.prom.ua/remote/dispatcher/state_purchase_view/41883863" xr:uid="{231EB7C8-836E-47DD-82D4-CAD4AB77DED9}"/>
    <hyperlink ref="O148" r:id="rId152" display="https://my.zakupki.prom.ua/remote/dispatcher/state_purchase_view/41884190" xr:uid="{421518F3-6CF5-49F6-9292-3ADF79409A7B}"/>
    <hyperlink ref="O149" r:id="rId153" display="https://my.zakupki.prom.ua/remote/dispatcher/state_purchase_view/41884366" xr:uid="{72CA4243-8D5D-4634-87BF-2A86DA95BE06}"/>
    <hyperlink ref="O150" r:id="rId154" display="https://my.zakupki.prom.ua/remote/dispatcher/state_purchase_view/41884428" xr:uid="{56A8FD40-C6F7-45C4-8926-7494BE957AF5}"/>
    <hyperlink ref="O151" r:id="rId155" display="https://my.zakupki.prom.ua/remote/dispatcher/state_purchase_view/41884595" xr:uid="{D52EE30E-866A-46F2-85DB-9C24BD2325F3}"/>
    <hyperlink ref="O152" r:id="rId156" display="https://my.zakupki.prom.ua/remote/dispatcher/state_purchase_view/41884694" xr:uid="{688AFC15-5BF2-4925-80BC-EEDC0481F84D}"/>
    <hyperlink ref="O153" r:id="rId157" display="https://my.zakupki.prom.ua/remote/dispatcher/state_purchase_view/41884754" xr:uid="{12E803AA-23A5-4DB7-907A-F9803FA516FE}"/>
    <hyperlink ref="O159" r:id="rId158" display="https://my.zakupki.prom.ua/remote/dispatcher/state_purchase_view/41940109" xr:uid="{0BC231DF-B632-4ECA-ABDB-7F4C1E12CCE0}"/>
    <hyperlink ref="O157" r:id="rId159" display="https://my.zakupki.prom.ua/remote/dispatcher/state_purchase_view/41981491" xr:uid="{17A28D40-AADC-410C-B60D-575985E5FB4C}"/>
    <hyperlink ref="O154" r:id="rId160" display="https://my.zakupki.prom.ua/remote/dispatcher/state_purchase_view/41981897" xr:uid="{E51A2F4A-53AC-48E3-A34A-5321F2F1BC7A}"/>
    <hyperlink ref="O155" r:id="rId161" display="https://my.zakupki.prom.ua/remote/dispatcher/state_purchase_view/41982033" xr:uid="{547F6F3A-D630-4877-BD17-C722F91EEBDF}"/>
    <hyperlink ref="O156" r:id="rId162" display="https://my.zakupki.prom.ua/remote/dispatcher/state_purchase_view/41982424" xr:uid="{AC818564-9032-4AE2-B88B-448B004B815B}"/>
    <hyperlink ref="O160" r:id="rId163" display="https://my.zakupki.prom.ua/remote/dispatcher/state_purchase_view/42053675" xr:uid="{A9999A86-2D0C-4348-BF68-B896FFE8B12E}"/>
    <hyperlink ref="O164" r:id="rId164" display="https://my.zakupki.prom.ua/remote/dispatcher/state_purchase_view/42060198" xr:uid="{92313A57-A442-494B-BA45-384575B9B4C6}"/>
    <hyperlink ref="O165" r:id="rId165" display="https://my.zakupki.prom.ua/remote/dispatcher/state_purchase_view/42061190" xr:uid="{F562FF42-D0EC-4B10-9C09-094D8267FA01}"/>
    <hyperlink ref="O161" r:id="rId166" display="https://my.zakupki.prom.ua/remote/dispatcher/state_purchase_view/42130497" xr:uid="{B95BE764-EF1C-4458-AEFD-3FA5464057B4}"/>
    <hyperlink ref="O172" r:id="rId167" display="https://my.zakupki.prom.ua/remote/dispatcher/state_purchase_view/42156949" xr:uid="{17AF5571-307F-4FD8-8763-D724DB4EED91}"/>
    <hyperlink ref="O175" r:id="rId168" display="https://my.zakupki.prom.ua/remote/dispatcher/state_purchase_view/42170648" xr:uid="{75EFFF9F-480A-44A3-A63C-5E1FEF19DEBB}"/>
    <hyperlink ref="O163" r:id="rId169" display="https://my.zakupki.prom.ua/remote/dispatcher/state_purchase_view/42183159" xr:uid="{E8E221FA-BE68-425B-AA9A-022D188F9CA8}"/>
    <hyperlink ref="O162" r:id="rId170" display="https://my.zakupki.prom.ua/remote/dispatcher/state_purchase_view/42184394" xr:uid="{642EE9B9-8DF8-44B5-89DF-8B1ADBED6902}"/>
    <hyperlink ref="O176" r:id="rId171" display="https://my.zakupki.prom.ua/remote/dispatcher/state_purchase_view/40684940" xr:uid="{F3794D8A-A031-4E5F-82F4-58F902B457F4}"/>
    <hyperlink ref="O177" r:id="rId172" display="https://my.zakupki.prom.ua/remote/dispatcher/state_purchase_view/41733084" xr:uid="{DF778BB6-B4B1-4405-8C9E-BD3B4C7117B5}"/>
    <hyperlink ref="O182" r:id="rId173" display="https://my.zakupki.prom.ua/remote/dispatcher/state_purchase_view/40008355" xr:uid="{8010287A-B362-4A46-82F6-5FF09773A645}"/>
    <hyperlink ref="O184" r:id="rId174" display="https://my.zakupki.prom.ua/remote/dispatcher/state_purchase_view/40685006" xr:uid="{A9AB880A-D2FD-4101-9359-739D234CFCED}"/>
    <hyperlink ref="O185" r:id="rId175" display="https://my.zakupki.prom.ua/remote/dispatcher/state_purchase_view/41733098" xr:uid="{B9565B4D-4CED-4946-87AB-33405C587BBB}"/>
    <hyperlink ref="O186" r:id="rId176" display="https://my.zakupki.prom.ua/remote/dispatcher/state_purchase_view/41196329" xr:uid="{916D4243-655E-4F6C-AF21-F932C387C8C4}"/>
    <hyperlink ref="O187" r:id="rId177" display="https://my.zakupki.prom.ua/remote/dispatcher/state_purchase_view/41196140" xr:uid="{5F452D73-8E69-4E96-B0D7-7EDAE41D0127}"/>
    <hyperlink ref="O194" r:id="rId178" display="https://my.zakupki.prom.ua/remote/dispatcher/state_purchase_view/41733075" xr:uid="{7417BFE1-E9ED-4807-968E-63900F88257C}"/>
    <hyperlink ref="O202" r:id="rId179" display="https://my.zakupki.prom.ua/remote/dispatcher/state_purchase_view/42283558" xr:uid="{65D49488-CE46-4C2F-BF43-79AC8F172F4D}"/>
    <hyperlink ref="O203" r:id="rId180" display="https://my.zakupki.prom.ua/remote/dispatcher/state_purchase_view/42285406" xr:uid="{F89EF83B-AB83-481A-AFF6-9BF8D07445F2}"/>
    <hyperlink ref="O241" r:id="rId181" display="https://my.zakupki.prom.ua/remote/dispatcher/state_purchase_view/42214586" xr:uid="{CF5135D9-AC95-4BBD-A2E8-54E5F2C60D92}"/>
    <hyperlink ref="O251" r:id="rId182" display="https://my.zakupki.prom.ua/remote/dispatcher/state_purchase_view/41742669" xr:uid="{A179DCBD-F5C4-4C26-B049-45DF1B31F536}"/>
    <hyperlink ref="O252" r:id="rId183" display="https://my.zakupki.prom.ua/remote/dispatcher/state_purchase_view/41733153" xr:uid="{525879B7-3A36-4439-848F-DC898176D2EF}"/>
    <hyperlink ref="O253" r:id="rId184" display="https://my.zakupki.prom.ua/remote/dispatcher/state_purchase_view/41733109" xr:uid="{7158D91A-F403-4825-BDEB-7D62C447DF97}"/>
    <hyperlink ref="O83" r:id="rId185" display="https://my.zakupki.prom.ua/remote/dispatcher/state_purchase_view/41233553" xr:uid="{CC4984D8-8C06-4A70-8EE0-015EA2BBB9ED}"/>
    <hyperlink ref="O254" r:id="rId186" display="https://my.zakupki.prom.ua/remote/dispatcher/state_purchase_view/41233553" xr:uid="{F107CE20-519C-4F71-A9E1-CEC6882253E6}"/>
    <hyperlink ref="O255" r:id="rId187" display="https://my.zakupki.prom.ua/remote/dispatcher/state_purchase_view/42223452" xr:uid="{AF0189EC-53C5-45C5-9341-28D63FEBCB61}"/>
    <hyperlink ref="O258" r:id="rId188" display="https://my.zakupki.prom.ua/remote/dispatcher/state_purchase_view/41750108" xr:uid="{424F6D72-7C31-4ACB-8B5D-DCD74BE884CB}"/>
    <hyperlink ref="O259" r:id="rId189" display="https://my.zakupki.prom.ua/remote/dispatcher/state_purchase_view/41750366" xr:uid="{8C41FA64-0024-4330-9BAA-06EADA61B90F}"/>
    <hyperlink ref="O290" r:id="rId190" display="https://my.zakupki.prom.ua/remote/dispatcher/state_purchase_view/41733137" xr:uid="{34B9CA12-2DFD-443C-B2B0-3D16380B642C}"/>
    <hyperlink ref="O291" r:id="rId191" display="https://my.zakupki.prom.ua/remote/dispatcher/state_purchase_view/41749893" xr:uid="{DFCDFED9-F0C8-4C8D-927F-4DD3DE072418}"/>
    <hyperlink ref="O292" r:id="rId192" display="https://my.zakupki.prom.ua/remote/dispatcher/state_purchase_view/42283558" xr:uid="{DDE241F1-C78F-4DA1-A901-F3CB5CC885B2}"/>
    <hyperlink ref="O293" r:id="rId193" display="https://my.zakupki.prom.ua/remote/dispatcher/state_purchase_view/42285406" xr:uid="{C935DD69-5A97-433D-8333-0DE725C43067}"/>
    <hyperlink ref="O294" r:id="rId194" display="https://my.zakupki.prom.ua/remote/dispatcher/state_purchase_view/43453611" xr:uid="{C904D634-76ED-4191-B031-EDF367CC23A8}"/>
    <hyperlink ref="O295" r:id="rId195" display="https://my.zakupki.prom.ua/remote/dispatcher/state_purchase_view/41733070" xr:uid="{B6887CAC-05FC-4B47-9121-B41589C4A052}"/>
    <hyperlink ref="O296" r:id="rId196" display="https://my.zakupki.prom.ua/remote/dispatcher/state_purchase_view/41733122" xr:uid="{88FD2CDA-6242-4371-81E6-D9F779444BA4}"/>
    <hyperlink ref="O297" r:id="rId197" display="https://my.zakupki.prom.ua/remote/dispatcher/state_purchase_view/43498928" xr:uid="{BA6A9040-C1F1-45F3-AC75-08CA81D6EE11}"/>
    <hyperlink ref="O298" r:id="rId198" display="https://my.zakupki.prom.ua/remote/dispatcher/state_purchase_view/43498423" xr:uid="{127C9FD4-85C3-4BA3-BB30-0DDB633D1CC1}"/>
    <hyperlink ref="O299" r:id="rId199" display="https://my.zakupki.prom.ua/remote/dispatcher/state_purchase_view/43498168" xr:uid="{EC53CC7F-3FC8-4D1D-8109-7740D76BDF2D}"/>
    <hyperlink ref="O300" r:id="rId200" display="https://my.zakupki.prom.ua/remote/dispatcher/state_purchase_view/43497323" xr:uid="{0B677370-A3DD-4400-B9C6-C4988D113FB7}"/>
    <hyperlink ref="O301" r:id="rId201" display="https://my.zakupki.prom.ua/remote/dispatcher/state_purchase_lot_view/936813" xr:uid="{FAB5353E-FE7A-423A-88C2-4135877433B0}"/>
    <hyperlink ref="O302" r:id="rId202" display="https://my.zakupki.prom.ua/remote/dispatcher/state_purchase_view/43471077" xr:uid="{4D5F735C-1B14-4550-8763-D418A1993529}"/>
    <hyperlink ref="O303" r:id="rId203" display="https://my.zakupki.prom.ua/remote/dispatcher/state_purchase_view/43471883" xr:uid="{1C4A35B0-AE08-43EB-BA15-8033DF196B91}"/>
    <hyperlink ref="O304" r:id="rId204" display="https://my.zakupki.prom.ua/remote/dispatcher/state_purchase_view/43472312" xr:uid="{0B23988F-C4F9-4D5A-AC6A-CCB44AA465C5}"/>
    <hyperlink ref="O316" r:id="rId205" display="https://my.zakupki.prom.ua/remote/dispatcher/state_purchase_view/43725402" xr:uid="{F45FFA20-880A-44A7-8918-EE91FC93E1B5}"/>
    <hyperlink ref="O321" r:id="rId206" display="https://my.zakupki.prom.ua/remote/dispatcher/state_purchase_view/43725047" xr:uid="{4927F3F7-0F23-462E-97C7-81D0CE8F92B7}"/>
    <hyperlink ref="O314" r:id="rId207" display="https://my.zakupki.prom.ua/remote/dispatcher/state_purchase_view/43722659" xr:uid="{86F920DB-7772-4359-85B8-CC62ADF43721}"/>
    <hyperlink ref="O315" r:id="rId208" display="https://my.zakupki.prom.ua/remote/dispatcher/state_purchase_view/43721938" xr:uid="{7AAF4A95-E136-451B-9B28-DECE3394BA36}"/>
    <hyperlink ref="O313" r:id="rId209" display="https://my.zakupki.prom.ua/remote/dispatcher/state_purchase_view/43692305" xr:uid="{115248AA-D5EE-46DC-86E6-BFC9B3344DDF}"/>
    <hyperlink ref="O311" r:id="rId210" display="https://my.zakupki.prom.ua/remote/dispatcher/state_purchase_view/43692036" xr:uid="{98C1C948-EA6B-4F0E-91CB-99C491B183FD}"/>
    <hyperlink ref="O310" r:id="rId211" display="https://my.zakupki.prom.ua/remote/dispatcher/state_purchase_view/43691588" xr:uid="{B4F65CA1-B562-4562-8A26-64403E404CA3}"/>
    <hyperlink ref="O309" r:id="rId212" display="https://my.zakupki.prom.ua/remote/dispatcher/state_purchase_view/43630739" xr:uid="{01B3BAAC-7792-4F76-9271-0B7AB817933C}"/>
    <hyperlink ref="O308" r:id="rId213" display="https://my.zakupki.prom.ua/remote/dispatcher/state_purchase_view/43630461" xr:uid="{DDBF190E-0472-41A8-A859-C5907191CF1B}"/>
    <hyperlink ref="O307" r:id="rId214" display="https://my.zakupki.prom.ua/remote/dispatcher/state_purchase_view/43565657" xr:uid="{ECA41555-F600-4E62-8717-C680E1273ECF}"/>
    <hyperlink ref="O306" r:id="rId215" display="https://my.zakupki.prom.ua/remote/dispatcher/state_purchase_view/43538362" xr:uid="{038F806E-6F64-46C7-AF96-514F7F85FA6A}"/>
    <hyperlink ref="O305" r:id="rId216" display="https://my.zakupki.prom.ua/remote/dispatcher/state_purchase_view/43537305" xr:uid="{85199B0D-923F-45EA-8780-237A0C46B7C7}"/>
    <hyperlink ref="O312" r:id="rId217" display="https://my.zakupki.prom.ua/remote/dispatcher/state_purchase_view/43692242" xr:uid="{AA9C4471-B41E-474B-9529-0CBD092D444D}"/>
    <hyperlink ref="O356" r:id="rId218" display="https://my.zakupki.prom.ua/remote/dispatcher/state_purchase_view/44166126" xr:uid="{A1074F4B-F76C-47B7-9A4F-D148DB508AA2}"/>
    <hyperlink ref="O355" r:id="rId219" display="https://my.zakupki.prom.ua/remote/dispatcher/state_purchase_view/44159135" xr:uid="{389A6151-9A92-4025-A66B-C790EFB13178}"/>
    <hyperlink ref="O354" r:id="rId220" display="https://my.zakupki.prom.ua/remote/dispatcher/state_purchase_view/44158768" xr:uid="{65400253-DEDD-4FF7-AFC5-6CFB2F44AFB8}"/>
    <hyperlink ref="O349" r:id="rId221" display="https://my.zakupki.prom.ua/remote/dispatcher/state_purchase_view/44136009" xr:uid="{04A26AFC-2D27-433F-9914-ADDD56EE9248}"/>
    <hyperlink ref="O348" r:id="rId222" display="https://my.zakupki.prom.ua/remote/dispatcher/state_purchase_view/44135967" xr:uid="{984AEF63-8ADF-491D-8E2F-42136E236C4E}"/>
    <hyperlink ref="O351" r:id="rId223" display="https://my.zakupki.prom.ua/remote/dispatcher/state_purchase_view/44135924" xr:uid="{EEAFA367-69BD-4DA0-B657-3232693A6F54}"/>
    <hyperlink ref="O352" r:id="rId224" display="https://my.zakupki.prom.ua/remote/dispatcher/state_purchase_view/44135817" xr:uid="{D399CEDC-3EA3-4AD4-9203-DD2799E6E56A}"/>
    <hyperlink ref="O350" r:id="rId225" display="https://my.zakupki.prom.ua/remote/dispatcher/state_purchase_view/44135467" xr:uid="{34262040-2576-45F0-ACE0-3A5DFBE91A8E}"/>
    <hyperlink ref="O353" r:id="rId226" display="https://my.zakupki.prom.ua/remote/dispatcher/state_purchase_view/44134831" xr:uid="{6E952EBB-1759-49E1-B989-2A788ADD87B9}"/>
    <hyperlink ref="O341" r:id="rId227" display="https://my.zakupki.prom.ua/remote/dispatcher/state_purchase_view/44104782" xr:uid="{E71E6955-8144-4FC7-B2C4-3F53E52B0DCA}"/>
    <hyperlink ref="O340" r:id="rId228" display="https://my.zakupki.prom.ua/remote/dispatcher/state_purchase_view/44104184" xr:uid="{5A7252F0-7287-4634-8283-4E1D96B46421}"/>
    <hyperlink ref="O344" r:id="rId229" display="https://my.zakupki.prom.ua/remote/dispatcher/state_purchase_view/44049907" xr:uid="{FCBF174C-D991-413C-A907-BD6E39E91BDF}"/>
    <hyperlink ref="O343" r:id="rId230" display="https://my.zakupki.prom.ua/remote/dispatcher/state_purchase_view/44048919" xr:uid="{494406DD-6E5D-43B0-A0F5-88953FA40568}"/>
    <hyperlink ref="O342" r:id="rId231" display="https://my.zakupki.prom.ua/remote/dispatcher/state_purchase_view/44036743" xr:uid="{E9030C39-1F70-4AA6-8090-FF33AF99E52B}"/>
    <hyperlink ref="O339" r:id="rId232" display="https://my.zakupki.prom.ua/remote/dispatcher/state_purchase_view/43999206" xr:uid="{5FFE2D55-A8CA-495B-8BD9-72B4C262AE11}"/>
    <hyperlink ref="O337" r:id="rId233" display="https://my.zakupki.prom.ua/remote/dispatcher/state_purchase_view/43971834" xr:uid="{AE1C4164-BFB3-47D5-9E02-870577F53CD3}"/>
    <hyperlink ref="O333" r:id="rId234" display="https://my.zakupki.prom.ua/remote/dispatcher/state_purchase_view/43897803" xr:uid="{9590F9C8-9AB3-4969-80EC-656593D350F2}"/>
    <hyperlink ref="O332" r:id="rId235" display="https://my.zakupki.prom.ua/remote/dispatcher/state_purchase_view/43897561" xr:uid="{E3F9C557-81FB-4AE6-8371-382D055B0682}"/>
    <hyperlink ref="O331" r:id="rId236" display="https://my.zakupki.prom.ua/remote/dispatcher/state_purchase_view/43897159" xr:uid="{97942F79-82E8-45B7-8C0F-4B785AA51F20}"/>
    <hyperlink ref="O327" r:id="rId237" display="https://my.zakupki.prom.ua/remote/dispatcher/state_purchase_view/43896912" xr:uid="{1D62DFE1-58B5-46C7-B8D6-4AE8B71FF84E}"/>
    <hyperlink ref="O329" r:id="rId238" display="https://my.zakupki.prom.ua/remote/dispatcher/state_purchase_view/43870516" xr:uid="{B7F5B2EB-1C6F-4E01-AB29-54B104BB590A}"/>
    <hyperlink ref="O328" r:id="rId239" display="https://my.zakupki.prom.ua/remote/dispatcher/state_purchase_view/43869803" xr:uid="{0B5E61D0-F48E-44E5-9FB1-8BED875E5EF0}"/>
    <hyperlink ref="O330" r:id="rId240" display="https://my.zakupki.prom.ua/remote/dispatcher/state_purchase_view/43869133" xr:uid="{D8AB456D-C29E-4326-912A-A68A8E67BE27}"/>
    <hyperlink ref="O325" r:id="rId241" display="https://my.zakupki.prom.ua/remote/dispatcher/state_purchase_view/43835039" xr:uid="{065F08BF-3C48-4838-B00F-A1BBD0E83CDC}"/>
    <hyperlink ref="O324" r:id="rId242" display="https://my.zakupki.prom.ua/remote/dispatcher/state_purchase_view/43835025" xr:uid="{64C8933F-9038-4436-83A7-392F087004FF}"/>
    <hyperlink ref="O326" r:id="rId243" display="https://my.zakupki.prom.ua/remote/dispatcher/state_purchase_view/43834982" xr:uid="{1E645A5E-27E7-43B5-9F11-67C990CE944B}"/>
    <hyperlink ref="O323" r:id="rId244" display="https://my.zakupki.prom.ua/remote/dispatcher/state_purchase_view/43770978" xr:uid="{1580E61C-88FA-4086-97EA-6F84AF40C183}"/>
    <hyperlink ref="O322" r:id="rId245" display="https://my.zakupki.prom.ua/remote/dispatcher/state_purchase_view/43770616" xr:uid="{73C232A3-3675-4D61-89EE-B894E538A4E2}"/>
    <hyperlink ref="O405" r:id="rId246" display="https://my.zakupki.prom.ua/remote/dispatcher/state_purchase_view/44933197" xr:uid="{BE1B8821-BB23-4E07-9591-4FCE3CC28E31}"/>
    <hyperlink ref="O404" r:id="rId247" display="https://my.zakupki.prom.ua/remote/dispatcher/state_purchase_view/44915931" xr:uid="{60412A10-A03C-4661-B942-1C48E686339B}"/>
    <hyperlink ref="O403" r:id="rId248" display="https://my.zakupki.prom.ua/remote/dispatcher/state_purchase_view/44915656" xr:uid="{AF141CBA-9532-4212-A29C-C0BB9935E495}"/>
    <hyperlink ref="O402" r:id="rId249" display="https://my.zakupki.prom.ua/remote/dispatcher/state_purchase_view/44915454" xr:uid="{F0BFE419-0A77-4B05-8FD0-BC8B6EB850BE}"/>
    <hyperlink ref="O401" r:id="rId250" display="https://my.zakupki.prom.ua/remote/dispatcher/state_purchase_view/44915165" xr:uid="{86196E66-9CC7-4251-88E4-712735543CD7}"/>
    <hyperlink ref="O400" r:id="rId251" display="https://my.zakupki.prom.ua/remote/dispatcher/state_purchase_view/44910077" xr:uid="{B04E2A8C-3C76-483C-8431-97E2CE589A4C}"/>
    <hyperlink ref="O399" r:id="rId252" display="https://my.zakupki.prom.ua/remote/dispatcher/state_purchase_view/44909948" xr:uid="{072AB606-5DEF-422E-801A-A1FBF3252F64}"/>
    <hyperlink ref="O398" r:id="rId253" display="https://my.zakupki.prom.ua/remote/dispatcher/state_purchase_view/44891497" xr:uid="{D6BA1378-D6E3-4E35-9BC7-99907873D148}"/>
    <hyperlink ref="O388" r:id="rId254" display="https://my.zakupki.prom.ua/remote/dispatcher/state_purchase_view/44854039" xr:uid="{688FBC8A-32C1-410A-87CB-4EA3DC830807}"/>
    <hyperlink ref="O397" r:id="rId255" display="https://my.zakupki.prom.ua/remote/dispatcher/state_purchase_view/44849025" xr:uid="{29142EAE-ED44-49AB-84B7-79DDBC8D7234}"/>
    <hyperlink ref="O396" r:id="rId256" display="https://my.zakupki.prom.ua/remote/dispatcher/state_purchase_view/44848946" xr:uid="{5AD58DF2-AFC2-4C0B-999B-27B60E735FFC}"/>
    <hyperlink ref="O395" r:id="rId257" display="https://my.zakupki.prom.ua/remote/dispatcher/state_purchase_view/44848888" xr:uid="{4DFBFF67-D45C-4711-B6FB-B2B51803D19E}"/>
    <hyperlink ref="O387" r:id="rId258" display="https://my.zakupki.prom.ua/remote/dispatcher/state_purchase_view/44848353" xr:uid="{2AABE58F-ECE4-4C72-971C-064C3B796CA0}"/>
    <hyperlink ref="O391" r:id="rId259" display="https://my.zakupki.prom.ua/remote/dispatcher/state_purchase_view/44847249" xr:uid="{95178FB6-2700-4A30-A52C-D59D3B6FBA0E}"/>
    <hyperlink ref="O390" r:id="rId260" display="https://my.zakupki.prom.ua/remote/dispatcher/state_purchase_view/44847008" xr:uid="{1CD37274-3072-467C-8DBE-58AE07C0ACEE}"/>
    <hyperlink ref="O394" r:id="rId261" display="https://my.zakupki.prom.ua/remote/dispatcher/state_purchase_view/44846842" xr:uid="{181C1EBD-D719-4541-BB21-C27AA6175B3E}"/>
    <hyperlink ref="O392" r:id="rId262" display="https://my.zakupki.prom.ua/remote/dispatcher/state_purchase_view/44846737" xr:uid="{EC51C8AD-F397-49E5-9D7F-BC9FBE082E15}"/>
    <hyperlink ref="O389" r:id="rId263" display="https://my.zakupki.prom.ua/remote/dispatcher/state_purchase_view/44846111" xr:uid="{63731D9B-C3E5-404E-B96D-449F7055B7E6}"/>
    <hyperlink ref="O393" r:id="rId264" display="https://my.zakupki.prom.ua/remote/dispatcher/state_purchase_view/44845935" xr:uid="{725416B3-FA99-497C-8A48-91B8411CB182}"/>
    <hyperlink ref="O385" r:id="rId265" display="https://my.zakupki.prom.ua/remote/dispatcher/state_purchase_view/44843762" xr:uid="{9F602579-3DA2-4C46-BEDD-7FD5FD9EB8FB}"/>
    <hyperlink ref="O386" r:id="rId266" display="https://my.zakupki.prom.ua/remote/dispatcher/state_purchase_view/44843276" xr:uid="{C434411D-EC40-409A-A010-B34F33CB3B48}"/>
    <hyperlink ref="O384" r:id="rId267" display="https://my.zakupki.prom.ua/remote/dispatcher/state_purchase_view/44802631" xr:uid="{CA9442FC-2C10-4879-9757-12FF94AD9BC2}"/>
    <hyperlink ref="O382" r:id="rId268" display="https://my.zakupki.prom.ua/remote/dispatcher/state_purchase_view/44794122" xr:uid="{E6A9C41F-769C-42B6-87C7-CE49D237E07C}"/>
    <hyperlink ref="O381" r:id="rId269" display="https://my.zakupki.prom.ua/remote/dispatcher/state_purchase_view/44793868" xr:uid="{C3550190-DEB4-4EFC-9B2F-D8A803A40E6E}"/>
    <hyperlink ref="O380" r:id="rId270" display="https://my.zakupki.prom.ua/remote/dispatcher/state_purchase_view/44793527" xr:uid="{285DAB05-7E21-4ED8-BEBE-03AE8142B292}"/>
    <hyperlink ref="O379" r:id="rId271" display="https://my.zakupki.prom.ua/remote/dispatcher/state_purchase_view/44790376" xr:uid="{36DFE354-446E-4A6A-9403-6F7559C21079}"/>
    <hyperlink ref="O378" r:id="rId272" display="https://my.zakupki.prom.ua/remote/dispatcher/state_purchase_view/44789746" xr:uid="{6831637E-FC71-4321-819B-FF365D7A9FCB}"/>
    <hyperlink ref="O377" r:id="rId273" display="https://my.zakupki.prom.ua/remote/dispatcher/state_purchase_view/44789063" xr:uid="{3F6C4122-0793-4AF9-9591-81ACCDAC7472}"/>
    <hyperlink ref="O376" r:id="rId274" display="https://my.zakupki.prom.ua/remote/dispatcher/state_purchase_view/44788907" xr:uid="{DC14A5DB-F7D3-4763-8274-2F603B43E28B}"/>
    <hyperlink ref="O383" r:id="rId275" display="https://my.zakupki.prom.ua/remote/dispatcher/state_purchase_view/44764303" xr:uid="{FA8AD266-3FE7-4BFB-91F0-A94FA54219A2}"/>
    <hyperlink ref="O374" r:id="rId276" display="https://my.zakupki.prom.ua/remote/dispatcher/state_purchase_view/44710051" xr:uid="{4ED467CA-5857-48ED-A4A7-88905897503C}"/>
    <hyperlink ref="O373" r:id="rId277" display="https://my.zakupki.prom.ua/remote/dispatcher/state_purchase_view/44687800" xr:uid="{653A4356-7A2D-4C0F-AD3A-7F526817C97A}"/>
    <hyperlink ref="O372" r:id="rId278" display="https://my.zakupki.prom.ua/remote/dispatcher/state_purchase_view/44680118" xr:uid="{0F684240-6E56-49AE-A62C-583218315002}"/>
    <hyperlink ref="O371" r:id="rId279" display="https://my.zakupki.prom.ua/remote/dispatcher/state_purchase_view/44679540" xr:uid="{3FF11958-63CF-4881-AF37-0DFF30BD2750}"/>
    <hyperlink ref="O370" r:id="rId280" display="https://my.zakupki.prom.ua/remote/dispatcher/state_purchase_view/44373904" xr:uid="{09E11182-7908-400B-9143-E6EE2530A4AC}"/>
    <hyperlink ref="O368" r:id="rId281" display="https://my.zakupki.prom.ua/remote/dispatcher/state_purchase_view/44331629" xr:uid="{F8510814-55F7-48BF-A660-EBA3F86EFAAF}"/>
    <hyperlink ref="O367" r:id="rId282" display="https://my.zakupki.prom.ua/remote/dispatcher/state_purchase_view/44331428" xr:uid="{575FE988-84B2-4F02-9512-49D939FC9AC9}"/>
    <hyperlink ref="O358" r:id="rId283" display="https://my.zakupki.prom.ua/remote/dispatcher/state_purchase_view/43630739" xr:uid="{77A8E3F8-63EE-42DB-9D69-8DC1A18AF94E}"/>
    <hyperlink ref="O360" r:id="rId284" display="https://my.zakupki.prom.ua/remote/dispatcher/state_purchase_view/44159135" xr:uid="{DC1C6B58-58F3-442E-9B47-1D31FF25929F}"/>
    <hyperlink ref="O359" r:id="rId285" display="https://my.zakupki.prom.ua/remote/dispatcher/state_purchase_view/44158768" xr:uid="{7384B99C-7D63-4525-8D9F-68981BA67183}"/>
    <hyperlink ref="O361" r:id="rId286" display="https://my.zakupki.prom.ua/remote/dispatcher/state_purchase_view/44136009" xr:uid="{02E91C24-FF47-431E-B8F4-CCE4F582C743}"/>
    <hyperlink ref="O364" r:id="rId287" display="https://my.zakupki.prom.ua/remote/dispatcher/state_purchase_view/43722659" xr:uid="{0A844762-679D-46A0-BF78-1D6A038C9BEC}"/>
    <hyperlink ref="O363" r:id="rId288" display="https://my.zakupki.prom.ua/remote/dispatcher/state_purchase_view/43721938" xr:uid="{18A569BD-048B-41F9-ACC2-D7A95C180B4E}"/>
    <hyperlink ref="O362" r:id="rId289" display="https://my.zakupki.prom.ua/remote/dispatcher/state_purchase_view/43692305" xr:uid="{23DB3F1E-B077-4C71-816E-B78321663626}"/>
    <hyperlink ref="O365" r:id="rId290" display="https://my.zakupki.prom.ua/remote/dispatcher/state_purchase_view/43725402" xr:uid="{E2C7E6AA-5FD6-4B52-ACF5-C0521EB2754A}"/>
    <hyperlink ref="O449" r:id="rId291" display="https://my.zakupki.prom.ua/remote/dispatcher/state_purchase_view/45646702" xr:uid="{AF6134ED-9C46-45B6-8BFB-402D9B4F1716}"/>
    <hyperlink ref="O448" r:id="rId292" display="https://my.zakupki.prom.ua/remote/dispatcher/state_purchase_view/45646673" xr:uid="{4D3BBE03-255D-4965-98AB-8CFE33D7B52C}"/>
    <hyperlink ref="O447" r:id="rId293" display="https://my.zakupki.prom.ua/remote/dispatcher/state_purchase_view/45646627" xr:uid="{78651A1D-4654-48CF-B55E-9BCD33E04E3A}"/>
    <hyperlink ref="O450" r:id="rId294" display="https://my.zakupki.prom.ua/remote/dispatcher/state_purchase_view/45646602" xr:uid="{505F1F9E-6CFD-4B7E-8C78-CD614C7A7FA0}"/>
    <hyperlink ref="O433" r:id="rId295" display="https://my.zakupki.prom.ua/remote/dispatcher/state_purchase_view/45587103" xr:uid="{48FFA641-BCE9-483F-8308-E0CEBE96BECE}"/>
    <hyperlink ref="O434" r:id="rId296" display="https://my.zakupki.prom.ua/remote/dispatcher/state_purchase_view/45586471" xr:uid="{F042596E-9620-469A-B16E-3C4FE7F1BE46}"/>
    <hyperlink ref="O439" r:id="rId297" display="https://my.zakupki.prom.ua/remote/dispatcher/state_purchase_view/45548727" xr:uid="{ED17A5C7-ECD5-4A48-9576-9DF054B3F5DE}"/>
    <hyperlink ref="O441" r:id="rId298" display="https://my.zakupki.prom.ua/remote/dispatcher/state_purchase_view/45547962" xr:uid="{9CCDD053-2211-41D4-A9AC-8F4B4AEC69F8}"/>
    <hyperlink ref="O440" r:id="rId299" display="https://my.zakupki.prom.ua/remote/dispatcher/state_purchase_view/45547751" xr:uid="{EFFEF30C-7F61-419F-986D-51FFE4C9D1D6}"/>
    <hyperlink ref="O436" r:id="rId300" display="https://my.zakupki.prom.ua/remote/dispatcher/state_purchase_view/45529729" xr:uid="{06DFBDB7-6065-4AFD-A053-79E1ED2F9939}"/>
    <hyperlink ref="O426" r:id="rId301" display="https://my.zakupki.prom.ua/remote/dispatcher/state_purchase_view/45497264" xr:uid="{B55B8180-1385-4B76-A73E-B79AE86ABB56}"/>
    <hyperlink ref="O431" r:id="rId302" display="https://my.zakupki.prom.ua/remote/dispatcher/state_purchase_view/45464695" xr:uid="{F491AB7A-81B2-4E2C-9057-5A76B7E340D0}"/>
    <hyperlink ref="O432" r:id="rId303" display="https://my.zakupki.prom.ua/remote/dispatcher/state_purchase_view/45463979" xr:uid="{5BEE6078-7699-4711-9998-B5A4422C560B}"/>
    <hyperlink ref="O429" r:id="rId304" display="https://my.zakupki.prom.ua/remote/dispatcher/state_purchase_view/45463566" xr:uid="{110F390B-9D73-4EFB-8E34-6079CFC995CD}"/>
    <hyperlink ref="O430" r:id="rId305" display="https://my.zakupki.prom.ua/remote/dispatcher/state_purchase_view/45463061" xr:uid="{FE9AEE09-2869-495B-9D48-12D839729828}"/>
    <hyperlink ref="O428" r:id="rId306" display="https://my.zakupki.prom.ua/remote/dispatcher/state_purchase_view/45427750" xr:uid="{A665C51E-B8AA-4269-BCAB-3E6300CB51B8}"/>
    <hyperlink ref="O425" r:id="rId307" display="https://my.zakupki.prom.ua/remote/dispatcher/state_purchase_view/45249932" xr:uid="{51CFBEF6-AD4D-4C1D-9E43-D7E650B3FE3B}"/>
    <hyperlink ref="O420" r:id="rId308" display="https://my.zakupki.prom.ua/remote/dispatcher/state_purchase_view/45214366" xr:uid="{C8593C51-E13C-4B83-8693-EC8E79262C5E}"/>
    <hyperlink ref="O421" r:id="rId309" display="https://my.zakupki.prom.ua/remote/dispatcher/state_purchase_view/45212847" xr:uid="{787581BE-559F-40A4-A35A-CD47EF7AB35F}"/>
    <hyperlink ref="O423" r:id="rId310" display="https://my.zakupki.prom.ua/remote/dispatcher/state_purchase_view/45207868" xr:uid="{7EBABE50-87F8-4595-BE19-48B531121465}"/>
    <hyperlink ref="O422" r:id="rId311" display="https://my.zakupki.prom.ua/remote/dispatcher/state_purchase_view/45207697" xr:uid="{AD49A29C-3A63-4B38-A70F-F2CC149A3145}"/>
    <hyperlink ref="O424" r:id="rId312" display="https://my.zakupki.prom.ua/remote/dispatcher/state_purchase_view/45207138" xr:uid="{E6EE863B-A53D-49C7-9AC6-06EEB71EAC2C}"/>
    <hyperlink ref="O419" r:id="rId313" display="https://my.zakupki.prom.ua/remote/dispatcher/state_purchase_view/45206317" xr:uid="{1B2A4243-6C85-4B16-8F29-4503DA203A43}"/>
    <hyperlink ref="O415" r:id="rId314" display="https://my.zakupki.prom.ua/remote/dispatcher/state_purchase_view/45082620" xr:uid="{800E6D41-B6B7-45D3-82E6-3E59428F59F4}"/>
    <hyperlink ref="O416" r:id="rId315" display="https://my.zakupki.prom.ua/remote/dispatcher/state_purchase_view/45069678" xr:uid="{580A458A-2D98-4789-98B1-14A665D7D5F5}"/>
    <hyperlink ref="O414" r:id="rId316" display="https://my.zakupki.prom.ua/remote/dispatcher/state_purchase_view/45069431" xr:uid="{38E0E0ED-A9AF-45F7-957F-66579A2A7F7A}"/>
    <hyperlink ref="O413" r:id="rId317" display="https://my.zakupki.prom.ua/remote/dispatcher/state_purchase_view/45067493" xr:uid="{4ECB16E3-87A4-4307-BC11-F0AC93A8CAA3}"/>
    <hyperlink ref="O418" r:id="rId318" display="https://my.zakupki.prom.ua/remote/dispatcher/state_purchase_view/45067340" xr:uid="{962B0048-8CD3-4D70-BBB2-D49841659E24}"/>
    <hyperlink ref="O417" r:id="rId319" display="https://my.zakupki.prom.ua/remote/dispatcher/state_purchase_view/45066963" xr:uid="{92B5C7F2-C0B8-4BCB-B332-CB9B85D5E98A}"/>
    <hyperlink ref="O427" r:id="rId320" display="https://my.zakupki.prom.ua/remote/dispatcher/state_purchase_view/44896973" xr:uid="{B6BA87FA-48F7-43D0-A3B9-25BEC22E597A}"/>
    <hyperlink ref="O412" r:id="rId321" display="https://my.zakupki.prom.ua/remote/dispatcher/state_purchase_view/44403314" xr:uid="{1448A34D-D46F-4DEB-9FD2-16AB3DFDDDC7}"/>
    <hyperlink ref="O410" r:id="rId322" display="https://my.zakupki.prom.ua/remote/dispatcher/state_purchase_view/44398376" xr:uid="{2D423B5F-8127-49DD-8C9A-73B98B3ECEEF}"/>
    <hyperlink ref="O411" r:id="rId323" display="https://my.zakupki.prom.ua/remote/dispatcher/state_purchase_view/44375441" xr:uid="{71C428D6-AD07-4BB6-B8FC-B70D10C4D55C}"/>
    <hyperlink ref="O435" r:id="rId324" display="https://my.zakupki.prom.ua/remote/dispatcher/state_purchase_view/44843762" xr:uid="{1082DB64-2DB3-4BA5-B880-99CE690F5530}"/>
    <hyperlink ref="O437" r:id="rId325" display="https://my.zakupki.prom.ua/remote/dispatcher/state_purchase_view/44915454" xr:uid="{251EEA63-1E45-40C1-AAF9-FFB9E111BF10}"/>
    <hyperlink ref="O443" r:id="rId326" display="https://my.zakupki.prom.ua/remote/dispatcher/state_purchase_view/44848888" xr:uid="{DBB7D2B3-C479-479E-8176-560B9787C722}"/>
    <hyperlink ref="O444" r:id="rId327" display="https://my.zakupki.prom.ua/remote/dispatcher/state_purchase_view/44915931" xr:uid="{A3F8550C-73BD-41AE-8C50-EA0EF2105C2F}"/>
    <hyperlink ref="O445" r:id="rId328" display="https://my.zakupki.prom.ua/remote/dispatcher/state_purchase_view/44848888" xr:uid="{0A658479-165F-4286-8B6F-59FA84492DAE}"/>
    <hyperlink ref="O446" r:id="rId329" display="https://my.zakupki.prom.ua/remote/dispatcher/state_purchase_view/44933197" xr:uid="{E9A4187C-371A-45AE-ACC3-C4DD1F4F3729}"/>
    <hyperlink ref="O527" r:id="rId330" display="https://my.zakupivli.pro/remote/dispatcher/state_purchase_view/47221863" xr:uid="{95510FFC-DBA0-43A5-8DF0-505973C71CD9}"/>
    <hyperlink ref="O525" r:id="rId331" display="https://my.zakupivli.pro/remote/dispatcher/state_purchase_view/47212322" xr:uid="{29F897A6-458C-44AF-9B27-C8228BFD4F85}"/>
    <hyperlink ref="O526" r:id="rId332" display="https://my.zakupivli.pro/remote/dispatcher/state_purchase_view/47210423" xr:uid="{AABA2926-31AD-4953-A962-DE8C29A2C10C}"/>
    <hyperlink ref="O523" r:id="rId333" display="https://my.zakupivli.pro/remote/dispatcher/state_purchase_view/47209371" xr:uid="{4956D973-1464-4A7D-AECC-1EF034BA8C85}"/>
    <hyperlink ref="O528" r:id="rId334" display="https://my.zakupivli.pro/remote/dispatcher/state_purchase_view/47208842" xr:uid="{DEA6E062-217A-4A6B-A172-DD52564CAF2B}"/>
    <hyperlink ref="O521" r:id="rId335" display="https://my.zakupivli.pro/remote/dispatcher/state_purchase_view/47208132" xr:uid="{BD3BE6F3-FB1B-454A-B3DE-99211A02B767}"/>
    <hyperlink ref="O522" r:id="rId336" display="https://my.zakupivli.pro/remote/dispatcher/state_purchase_view/47207159" xr:uid="{FFB02484-7F32-4691-9EBB-F4DD2A901A31}"/>
    <hyperlink ref="O518" r:id="rId337" display="https://my.zakupivli.pro/remote/dispatcher/state_purchase_view/47056689" xr:uid="{6492EC02-385B-48DD-BA03-5F5740C0346F}"/>
    <hyperlink ref="O515" r:id="rId338" display="https://my.zakupivli.pro/remote/dispatcher/state_purchase_view/46983697" xr:uid="{0985210A-627C-4A79-9AEF-73D50E566941}"/>
    <hyperlink ref="O516" r:id="rId339" display="https://my.zakupivli.pro/remote/dispatcher/state_purchase_view/46983201" xr:uid="{BAD0E539-C82D-4837-9EF4-A3F3F260FAFE}"/>
    <hyperlink ref="O514" r:id="rId340" display="https://my.zakupivli.pro/remote/dispatcher/state_purchase_view/46982802" xr:uid="{45B674DE-FA12-4768-8B04-8592939CF156}"/>
    <hyperlink ref="O513" r:id="rId341" display="https://my.zakupivli.pro/remote/dispatcher/state_purchase_view/46981380" xr:uid="{E6BAA848-312E-4ECC-8F89-A9B49322466F}"/>
    <hyperlink ref="O517" r:id="rId342" display="https://my.zakupivli.pro/remote/dispatcher/state_purchase_view/46980583" xr:uid="{470616EC-4528-4085-83BF-2FDCE46F5755}"/>
    <hyperlink ref="O512" r:id="rId343" display="https://my.zakupivli.pro/remote/dispatcher/state_purchase_view/46911475" xr:uid="{9499013B-23F0-431D-B512-8D3101D94D9A}"/>
    <hyperlink ref="O509" r:id="rId344" display="https://my.zakupivli.pro/remote/dispatcher/state_purchase_view/46909381" xr:uid="{B6D61AC8-EB84-4CA8-A3D7-F2459E1EFCC5}"/>
    <hyperlink ref="O495" r:id="rId345" display="https://my.zakupivli.pro/remote/dispatcher/state_purchase_view/46866313" xr:uid="{A0F251DB-8B1A-462B-8452-79EE4891AC47}"/>
    <hyperlink ref="O505" r:id="rId346" display="https://my.zakupivli.pro/remote/dispatcher/state_purchase_view/46824989" xr:uid="{CAA6DF99-0E3B-4950-A542-2EFD84DAE368}"/>
    <hyperlink ref="O506" r:id="rId347" display="https://my.zakupivli.pro/remote/dispatcher/state_purchase_view/46824669" xr:uid="{09128AA7-5737-47FD-B670-98993A9EFCBF}"/>
    <hyperlink ref="O507" r:id="rId348" display="https://my.zakupivli.pro/remote/dispatcher/state_purchase_view/46824290" xr:uid="{5CD3F5BE-0BFD-4507-96B9-F3E6ECC39585}"/>
    <hyperlink ref="O490" r:id="rId349" display="https://my.zakupivli.pro/remote/dispatcher/state_purchase_view/46729854" xr:uid="{81880396-9686-450E-8280-3FFF4787047D}"/>
    <hyperlink ref="O496" r:id="rId350" display="https://my.zakupivli.pro/remote/dispatcher/state_purchase_view/46707382" xr:uid="{00B8062F-0B48-4701-9AA3-554E4C51846B}"/>
    <hyperlink ref="O497" r:id="rId351" display="https://my.zakupivli.pro/remote/dispatcher/state_purchase_view/46707112" xr:uid="{E25B1211-52A8-4A4E-8933-C6E6FF4857DF}"/>
    <hyperlink ref="O500" r:id="rId352" display="https://my.zakupivli.pro/remote/dispatcher/state_purchase_view/46706689" xr:uid="{C3A058F1-5195-4661-AAA3-17A94B429676}"/>
    <hyperlink ref="O499" r:id="rId353" display="https://my.zakupivli.pro/remote/dispatcher/state_purchase_view/46703425" xr:uid="{F25F0541-343B-4FC9-9C9A-FA1234E9707C}"/>
    <hyperlink ref="O501" r:id="rId354" display="https://my.zakupivli.pro/remote/dispatcher/state_purchase_view/46702882" xr:uid="{F0818339-C54C-413F-83C1-59B1279DEE12}"/>
    <hyperlink ref="O498" r:id="rId355" display="https://my.zakupivli.pro/remote/dispatcher/state_purchase_view/46702303" xr:uid="{8FBB95D8-D4E8-4035-A4A5-49441FC9E247}"/>
    <hyperlink ref="O488" r:id="rId356" display="https://my.zakupivli.pro/remote/dispatcher/state_purchase_view/46564828" xr:uid="{F505845C-CA3E-45EC-8231-2119BE8F27ED}"/>
    <hyperlink ref="O487" r:id="rId357" display="https://my.zakupivli.pro/remote/dispatcher/state_purchase_view/46555264" xr:uid="{17F82D9C-1B2B-4CAA-8A4F-651083EC04D8}"/>
    <hyperlink ref="O489" r:id="rId358" display="https://my.zakupivli.pro/remote/dispatcher/state_purchase_view/46553876" xr:uid="{88FBCC5C-7DC9-4F14-AC8A-ABFE2D3DC58C}"/>
    <hyperlink ref="O486" r:id="rId359" display="https://my.zakupivli.pro/remote/dispatcher/state_purchase_view/46469920" xr:uid="{2E60E6F0-0BE8-4DBD-8818-D70F59AAB3D8}"/>
    <hyperlink ref="O484" r:id="rId360" display="https://my.zakupivli.pro/remote/dispatcher/state_purchase_view/46468702" xr:uid="{CA0FC41F-3E1B-4563-985E-46DE9C093E57}"/>
    <hyperlink ref="O485" r:id="rId361" display="https://my.zakupivli.pro/remote/dispatcher/state_purchase_view/46468529" xr:uid="{9704B512-ECB2-4E87-9E0C-058F72A42C28}"/>
    <hyperlink ref="O483" r:id="rId362" display="https://my.zakupivli.pro/remote/dispatcher/state_purchase_view/46430498" xr:uid="{836C38A9-C524-44BF-A362-11B4BB1424B6}"/>
    <hyperlink ref="O482" r:id="rId363" display="https://my.zakupivli.pro/remote/dispatcher/state_purchase_view/46429323" xr:uid="{A748D37A-68A6-4B72-BE20-86801D4AB73E}"/>
    <hyperlink ref="O481" r:id="rId364" display="https://my.zakupivli.pro/remote/dispatcher/state_purchase_view/46428921" xr:uid="{2027B702-F88B-489A-B89A-EE0314D258B8}"/>
    <hyperlink ref="O475" r:id="rId365" display="https://my.zakupivli.pro/remote/dispatcher/state_purchase_view/46324664" xr:uid="{661D8854-E3FC-4597-AD5D-7F2E1D4DA937}"/>
    <hyperlink ref="O480" r:id="rId366" display="https://my.zakupivli.pro/remote/dispatcher/state_purchase_view/46324409" xr:uid="{21C5607E-1EC4-4C9D-8021-D832C39AAF2D}"/>
    <hyperlink ref="O476" r:id="rId367" display="https://my.zakupivli.pro/remote/dispatcher/state_purchase_view/46324069" xr:uid="{F84615D3-44B4-46E9-8C24-C98F1FA0C7E1}"/>
    <hyperlink ref="O479" r:id="rId368" display="https://my.zakupivli.pro/remote/dispatcher/state_purchase_view/46322915" xr:uid="{36BC0415-65BF-442E-91F1-F786EFEFCFCB}"/>
    <hyperlink ref="O477" r:id="rId369" display="https://my.zakupivli.pro/remote/dispatcher/state_purchase_view/46322494" xr:uid="{18C8DB51-2907-49EE-9051-FDDB06F23DC2}"/>
    <hyperlink ref="O478" r:id="rId370" display="https://my.zakupivli.pro/remote/dispatcher/state_purchase_view/46322026" xr:uid="{F35D98E3-2F79-4415-8E64-C7E5D3892BA4}"/>
    <hyperlink ref="O524" r:id="rId371" display="https://my.zakupivli.pro/remote/dispatcher/state_purchase_view/46297718" xr:uid="{4EEC44CD-ECB4-4A50-B3B2-760D4DC68403}"/>
    <hyperlink ref="O473" r:id="rId372" display="https://my.zakupivli.pro/remote/dispatcher/state_purchase_view/46252518" xr:uid="{023C5390-2003-47B6-BFA4-92C349801D1B}"/>
    <hyperlink ref="O474" r:id="rId373" display="https://my.zakupivli.pro/remote/dispatcher/state_purchase_view/46252214" xr:uid="{20B47D24-E596-475E-9D72-10D1C82DFCBF}"/>
    <hyperlink ref="O465" r:id="rId374" display="https://my.zakupivli.pro/remote/dispatcher/state_purchase_view/46146407" xr:uid="{EFC3C83F-9CCA-42DB-9603-4D8954BE6765}"/>
    <hyperlink ref="O464" r:id="rId375" display="https://my.zakupivli.pro/remote/dispatcher/state_purchase_view/46145937" xr:uid="{D3667FDB-5111-41FF-B69F-71ECE831767A}"/>
    <hyperlink ref="O463" r:id="rId376" display="https://my.zakupivli.pro/remote/dispatcher/state_purchase_view/46144996" xr:uid="{D50A0BB9-8B29-4AB1-B786-6E4D9DE03527}"/>
    <hyperlink ref="O470" r:id="rId377" display="https://my.zakupivli.pro/remote/dispatcher/state_purchase_view/46137864" xr:uid="{64F8A819-63C0-486A-9D95-CF6B17904E0A}"/>
    <hyperlink ref="O471" r:id="rId378" display="https://my.zakupivli.pro/remote/dispatcher/state_purchase_view/46137735" xr:uid="{BE9EBD05-A741-49BE-A237-017DC03E2D1F}"/>
    <hyperlink ref="O461" r:id="rId379" display="https://my.zakupivli.pro/remote/dispatcher/state_purchase_view/45994980" xr:uid="{771CDD98-2C62-4661-9B5F-5A395217804E}"/>
    <hyperlink ref="O462" r:id="rId380" display="https://my.zakupivli.pro/remote/dispatcher/state_purchase_view/45990285" xr:uid="{DAB80E0A-785F-403A-BC5D-E5E7EBA7B885}"/>
    <hyperlink ref="O458" r:id="rId381" display="https://my.zakupivli.pro/remote/dispatcher/state_purchase_view/45990082" xr:uid="{1C0C4799-F6A3-4D6C-9797-75275605AB61}"/>
    <hyperlink ref="O457" r:id="rId382" display="https://my.zakupivli.pro/remote/dispatcher/state_purchase_view/45989773" xr:uid="{CD81870C-852D-4659-B577-FF3CDEAB017D}"/>
    <hyperlink ref="O459" r:id="rId383" display="https://my.zakupivli.pro/remote/dispatcher/state_purchase_view/45989527" xr:uid="{AC2F64AA-79BD-409E-9D2B-45B11545D8D6}"/>
    <hyperlink ref="O460" r:id="rId384" display="https://my.zakupivli.pro/remote/dispatcher/state_purchase_view/45989082" xr:uid="{0338FF9D-8E30-44F4-9195-77F0508BAF49}"/>
    <hyperlink ref="O467" r:id="rId385" display="https://my.zakupivli.pro/remote/dispatcher/state_purchase_view/45459897" xr:uid="{8D0A3B30-C8C7-403A-A783-5709034D0DAC}"/>
    <hyperlink ref="O472" r:id="rId386" display="https://my.zakupivli.pro/remote/dispatcher/state_purchase_view/45461672" xr:uid="{F2731AD2-9F3D-4E4F-830E-32CEC8AAC59B}"/>
    <hyperlink ref="O451" r:id="rId387" display="https://my.zakupivli.pro/remote/dispatcher/state_purchase_view/45646566" xr:uid="{C3ECC3CB-A4C7-4863-88A7-523F2A7014C7}"/>
    <hyperlink ref="A529" r:id="rId388" display="https://my.zakupivli.pro/remote/dispatcher/state_purchase_view/47240869" xr:uid="{03D9CF29-EC2E-4E00-86A4-0FB6616A95A7}"/>
    <hyperlink ref="A530" r:id="rId389" display="https://my.zakupivli.pro/remote/dispatcher/state_purchase_view/47236056" xr:uid="{32124823-0D17-4F4B-ADE2-A50A128EE7FF}"/>
    <hyperlink ref="A572" r:id="rId390" display="https://my.zakupivli.pro/remote/dispatcher/state_purchase_view/48116635" xr:uid="{F44D3DDD-7C89-4FA7-A9AF-1873CBADF789}"/>
    <hyperlink ref="A571" r:id="rId391" display="https://my.zakupivli.pro/remote/dispatcher/state_purchase_view/48098544" xr:uid="{5462B105-4C47-45D8-B1A4-02192AE72E09}"/>
    <hyperlink ref="A570" r:id="rId392" display="https://my.zakupivli.pro/remote/dispatcher/state_purchase_view/48089928" xr:uid="{DD91A5CB-02BE-4B19-A87E-5A0800744CBA}"/>
    <hyperlink ref="A567" r:id="rId393" display="https://my.zakupivli.pro/remote/dispatcher/state_purchase_view/48089397" xr:uid="{378F23AD-408E-48D5-90C3-8C5193AF8F83}"/>
    <hyperlink ref="A564" r:id="rId394" display="https://my.zakupivli.pro/remote/dispatcher/state_purchase_view/48053501" xr:uid="{F64AAEA9-BB94-4A90-BA8F-CA00ABD0F751}"/>
    <hyperlink ref="A565" r:id="rId395" display="https://my.zakupivli.pro/remote/dispatcher/state_purchase_view/48053316" xr:uid="{B913F183-9B0B-487F-A325-4C1B831F5CE4}"/>
    <hyperlink ref="A566" r:id="rId396" display="https://my.zakupivli.pro/remote/dispatcher/state_purchase_view/48053112" xr:uid="{9C5664D2-9C9E-4BB0-9274-EA82DA63F6EC}"/>
    <hyperlink ref="A568" r:id="rId397" display="https://my.zakupivli.pro/remote/dispatcher/state_purchase_view/48052343" xr:uid="{18D1019D-A6CA-4482-BF8B-D6F6398A9296}"/>
    <hyperlink ref="A555" r:id="rId398" display="https://my.zakupivli.pro/remote/dispatcher/state_purchase_view/47845587" xr:uid="{8BA8EB55-BFC2-4DBC-92EA-FE8F7219C45C}"/>
    <hyperlink ref="A560" r:id="rId399" display="https://my.zakupivli.pro/remote/dispatcher/state_purchase_view/47810377" xr:uid="{D5A98D20-9B86-4B69-96C8-13369FCD6A72}"/>
    <hyperlink ref="A558" r:id="rId400" display="https://my.zakupivli.pro/remote/dispatcher/state_purchase_view/47808365" xr:uid="{3E3ECE28-31F2-4B95-AFFC-52CB62568F84}"/>
    <hyperlink ref="A559" r:id="rId401" display="https://my.zakupivli.pro/remote/dispatcher/state_purchase_view/47807275" xr:uid="{9DB14799-08EE-476E-BF7F-4E9E742228AB}"/>
    <hyperlink ref="A550" r:id="rId402" display="https://my.zakupivli.pro/remote/dispatcher/state_purchase_view/47754742" xr:uid="{D83D63C2-EB56-483B-AFF0-6288ED7F6A53}"/>
    <hyperlink ref="A549" r:id="rId403" display="https://my.zakupivli.pro/remote/dispatcher/state_purchase_view/47754389" xr:uid="{396E64FE-B641-4C23-8C77-C7130ED2855E}"/>
    <hyperlink ref="A551" r:id="rId404" display="https://my.zakupivli.pro/remote/dispatcher/state_purchase_view/47753830" xr:uid="{4F389C8C-C81B-4595-8782-80CFDF0A2F4D}"/>
    <hyperlink ref="A548" r:id="rId405" display="https://my.zakupivli.pro/remote/dispatcher/state_purchase_view/47685731" xr:uid="{03FAC92D-94C9-4CEC-BDAB-0C8D0B6DA13B}"/>
    <hyperlink ref="A542" r:id="rId406" display="https://my.zakupivli.pro/remote/dispatcher/state_purchase_view/47650833" xr:uid="{E9258E2A-0EA9-4A74-A45E-A8D1BB348DAE}"/>
    <hyperlink ref="A547" r:id="rId407" display="https://my.zakupivli.pro/remote/dispatcher/state_purchase_view/47650526" xr:uid="{E3FD84BC-4ED6-4297-9AC9-DB736C3A2954}"/>
    <hyperlink ref="A546" r:id="rId408" display="https://my.zakupivli.pro/remote/dispatcher/state_purchase_view/47649702" xr:uid="{2631C3D1-FDAF-4508-9DCE-E9B4B8D7AC1D}"/>
    <hyperlink ref="A545" r:id="rId409" display="https://my.zakupivli.pro/remote/dispatcher/state_purchase_view/47648294" xr:uid="{B1B64E00-4BC8-4932-BA51-AAD1CDCCDA64}"/>
    <hyperlink ref="A544" r:id="rId410" display="https://my.zakupivli.pro/remote/dispatcher/state_purchase_view/47647259" xr:uid="{E1AD2CE8-B314-49BC-9858-F546F7084F2F}"/>
    <hyperlink ref="A541" r:id="rId411" display="https://my.zakupivli.pro/remote/dispatcher/state_purchase_view/47614232" xr:uid="{EC7B37CC-2501-4FFE-871E-566CA3CB496E}"/>
    <hyperlink ref="A538" r:id="rId412" display="https://my.zakupivli.pro/remote/dispatcher/state_purchase_view/47561105" xr:uid="{006230E5-BD9A-4934-A39E-71E47BB669DC}"/>
    <hyperlink ref="A539" r:id="rId413" display="https://my.zakupivli.pro/remote/dispatcher/state_purchase_view/47560730" xr:uid="{E3E4339A-8AFE-4FCD-A1A1-EE70A06F980E}"/>
    <hyperlink ref="A540" r:id="rId414" display="https://my.zakupivli.pro/remote/dispatcher/state_purchase_view/47560343" xr:uid="{F6361EB4-36D9-4028-8ED6-42E397560384}"/>
    <hyperlink ref="A534" r:id="rId415" display="https://my.zakupivli.pro/remote/dispatcher/state_purchase_view/47313496" xr:uid="{2D0217DD-829A-4FD4-8005-750604A64413}"/>
    <hyperlink ref="A531" r:id="rId416" display="https://my.zakupivli.pro/remote/dispatcher/state_purchase_view/47313162" xr:uid="{DA793224-8541-4CD6-B658-FAD66552AD92}"/>
    <hyperlink ref="A533" r:id="rId417" display="https://my.zakupivli.pro/remote/dispatcher/state_purchase_view/47305348" xr:uid="{5F59B0B5-9E70-47FF-9861-19B396FDEFAB}"/>
    <hyperlink ref="A532" r:id="rId418" display="https://my.zakupivli.pro/remote/dispatcher/state_purchase_view/47304493" xr:uid="{43022565-6461-46AC-9A15-BB1A318CEC20}"/>
    <hyperlink ref="A569" r:id="rId419" display="https://my.zakupivli.pro/remote/dispatcher/state_purchase_view/47069873" xr:uid="{4AB10C38-9C8F-4896-8868-C2539B11D860}"/>
    <hyperlink ref="A563" r:id="rId420" display="https://my.zakupivli.pro/remote/dispatcher/state_purchase_view/46989172" xr:uid="{718701BF-B43C-4410-9E4F-C376B2682085}"/>
    <hyperlink ref="A536" r:id="rId421" display="https://my.zakupivli.pro/remote/dispatcher/state_purchase_view/46953912" xr:uid="{24A48EA1-BFBE-4466-96EA-D3971BB5E780}"/>
    <hyperlink ref="A553" r:id="rId422" display="https://my.zakupivli.pro/remote/dispatcher/state_purchase_view/46821961" xr:uid="{E3A60411-6D1C-46F6-8013-B4E776BAD867}"/>
    <hyperlink ref="A535" r:id="rId423" display="https://my.zakupivli.pro/remote/dispatcher/state_purchase_view/46471534" xr:uid="{98E880C2-49DE-443F-AA46-ED8071C4C502}"/>
    <hyperlink ref="A573" r:id="rId424" display="https://my.zakupivli.pro/remote/dispatcher/state_purchase_view/46471534" xr:uid="{959754CF-7707-4277-B69D-D06CAF2FC2DE}"/>
    <hyperlink ref="A580" r:id="rId425" display="https://my.zakupivli.pro/remote/dispatcher/state_purchase_view/46821961" xr:uid="{A7D942BB-36C1-4012-A3EF-6CC6E02AF9DA}"/>
  </hyperlinks>
  <pageMargins left="0.25" right="0.25" top="0.75" bottom="0.75" header="0.3" footer="0.3"/>
  <pageSetup paperSize="9" scale="51" fitToHeight="0" orientation="landscape" r:id="rId426"/>
  <ignoredErrors>
    <ignoredError sqref="J409:J434 H410:H434 F410:F434 J436 H436:H437 F436 J439:J441 H439:H441 F439:F4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2024-01-03T15:48:24Z</dcterms:modified>
</cp:coreProperties>
</file>